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Hoja1" sheetId="1" r:id="rId1"/>
  </sheets>
  <definedNames>
    <definedName name="E">'Hoja1'!$E$5</definedName>
    <definedName name="fe">'Hoja1'!$E$6</definedName>
    <definedName name="Lp">'Hoja1'!$E$4</definedName>
  </definedNames>
  <calcPr fullCalcOnLoad="1"/>
</workbook>
</file>

<file path=xl/sharedStrings.xml><?xml version="1.0" encoding="utf-8"?>
<sst xmlns="http://schemas.openxmlformats.org/spreadsheetml/2006/main" count="49" uniqueCount="30">
  <si>
    <t>luz de pandeo</t>
  </si>
  <si>
    <t>m</t>
  </si>
  <si>
    <r>
      <t>L</t>
    </r>
    <r>
      <rPr>
        <b/>
        <vertAlign val="subscript"/>
        <sz val="12"/>
        <rFont val="Arial"/>
        <family val="2"/>
      </rPr>
      <t>p</t>
    </r>
    <r>
      <rPr>
        <b/>
        <sz val="12"/>
        <rFont val="Arial"/>
        <family val="2"/>
      </rPr>
      <t xml:space="preserve"> =</t>
    </r>
  </si>
  <si>
    <t>E =</t>
  </si>
  <si>
    <t>Kn/cm²</t>
  </si>
  <si>
    <t>límite elástico</t>
  </si>
  <si>
    <r>
      <t>f</t>
    </r>
    <r>
      <rPr>
        <b/>
        <vertAlign val="subscript"/>
        <sz val="12"/>
        <rFont val="Arial"/>
        <family val="2"/>
      </rPr>
      <t>e</t>
    </r>
    <r>
      <rPr>
        <b/>
        <sz val="12"/>
        <rFont val="Arial"/>
        <family val="2"/>
      </rPr>
      <t xml:space="preserve"> =</t>
    </r>
  </si>
  <si>
    <t xml:space="preserve">  (Dutheil)</t>
  </si>
  <si>
    <t>A</t>
  </si>
  <si>
    <t>b</t>
  </si>
  <si>
    <t>Ix</t>
  </si>
  <si>
    <t>Iy</t>
  </si>
  <si>
    <t>c</t>
  </si>
  <si>
    <t>In  2UPN</t>
  </si>
  <si>
    <t>In  3UPN</t>
  </si>
  <si>
    <r>
      <t>l</t>
    </r>
    <r>
      <rPr>
        <b/>
        <sz val="12"/>
        <rFont val="Arial"/>
        <family val="2"/>
      </rPr>
      <t xml:space="preserve"> </t>
    </r>
  </si>
  <si>
    <t xml:space="preserve">w </t>
  </si>
  <si>
    <t>módulo Young</t>
  </si>
  <si>
    <t>N  2UPN</t>
  </si>
  <si>
    <t>N  3UPN</t>
  </si>
  <si>
    <t>NORMAL RESISTIDO Kn</t>
  </si>
  <si>
    <t>kg/m</t>
  </si>
  <si>
    <t>UPN</t>
  </si>
  <si>
    <t>tubo</t>
  </si>
  <si>
    <t xml:space="preserve">este programa se difunde gratuitamente, se agradecen comentarios o mejoras a </t>
  </si>
  <si>
    <t>fjurado@aq.upm.es</t>
  </si>
  <si>
    <r>
      <t xml:space="preserve">(se toma un coeficiente de seguridad </t>
    </r>
    <r>
      <rPr>
        <b/>
        <sz val="8"/>
        <rFont val="Arial"/>
        <family val="2"/>
      </rPr>
      <t>1,44</t>
    </r>
    <r>
      <rPr>
        <sz val="8"/>
        <rFont val="Arial"/>
        <family val="0"/>
      </rPr>
      <t>)</t>
    </r>
  </si>
  <si>
    <t>HEB</t>
  </si>
  <si>
    <t>90x5</t>
  </si>
  <si>
    <t>SOPORTES DE ACERO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</si>
</sst>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#,##0.0"/>
  </numFmts>
  <fonts count="15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vertAlign val="subscript"/>
      <sz val="12"/>
      <name val="Arial"/>
      <family val="2"/>
    </font>
    <font>
      <b/>
      <sz val="12"/>
      <name val="Symbol"/>
      <family val="1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name val="Tahoma"/>
      <family val="2"/>
    </font>
    <font>
      <u val="single"/>
      <sz val="11"/>
      <color indexed="12"/>
      <name val="Arial"/>
      <family val="0"/>
    </font>
    <font>
      <sz val="8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4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" fontId="0" fillId="2" borderId="1" xfId="0" applyNumberFormat="1" applyFill="1" applyBorder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3" borderId="0" xfId="0" applyNumberFormat="1" applyFill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2" fontId="7" fillId="0" borderId="0" xfId="0" applyNumberFormat="1" applyFont="1" applyFill="1" applyBorder="1" applyAlignment="1">
      <alignment/>
    </xf>
    <xf numFmtId="2" fontId="7" fillId="0" borderId="0" xfId="0" applyNumberFormat="1" applyFont="1" applyBorder="1" applyAlignment="1">
      <alignment/>
    </xf>
    <xf numFmtId="2" fontId="0" fillId="4" borderId="0" xfId="0" applyNumberFormat="1" applyFill="1" applyAlignment="1">
      <alignment/>
    </xf>
    <xf numFmtId="2" fontId="0" fillId="3" borderId="0" xfId="0" applyNumberFormat="1" applyFill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172" fontId="0" fillId="0" borderId="0" xfId="0" applyNumberFormat="1" applyAlignment="1" applyProtection="1">
      <alignment/>
      <protection hidden="1"/>
    </xf>
    <xf numFmtId="172" fontId="0" fillId="4" borderId="0" xfId="0" applyNumberFormat="1" applyFill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1" fontId="0" fillId="2" borderId="2" xfId="0" applyNumberFormat="1" applyFill="1" applyBorder="1" applyAlignment="1" applyProtection="1">
      <alignment/>
      <protection hidden="1"/>
    </xf>
    <xf numFmtId="1" fontId="0" fillId="2" borderId="1" xfId="0" applyNumberFormat="1" applyFill="1" applyBorder="1" applyAlignment="1" applyProtection="1">
      <alignment/>
      <protection hidden="1"/>
    </xf>
    <xf numFmtId="1" fontId="0" fillId="0" borderId="3" xfId="0" applyNumberFormat="1" applyBorder="1" applyAlignment="1" applyProtection="1">
      <alignment/>
      <protection hidden="1"/>
    </xf>
    <xf numFmtId="1" fontId="0" fillId="3" borderId="0" xfId="0" applyNumberForma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Border="1" applyAlignment="1" applyProtection="1">
      <alignment/>
      <protection hidden="1"/>
    </xf>
    <xf numFmtId="2" fontId="0" fillId="3" borderId="4" xfId="0" applyNumberFormat="1" applyFill="1" applyBorder="1" applyAlignment="1" applyProtection="1">
      <alignment/>
      <protection hidden="1"/>
    </xf>
    <xf numFmtId="1" fontId="0" fillId="0" borderId="5" xfId="0" applyNumberFormat="1" applyBorder="1" applyAlignment="1" applyProtection="1">
      <alignment/>
      <protection hidden="1"/>
    </xf>
    <xf numFmtId="1" fontId="0" fillId="3" borderId="6" xfId="0" applyNumberFormat="1" applyFill="1" applyBorder="1" applyAlignment="1" applyProtection="1">
      <alignment/>
      <protection hidden="1"/>
    </xf>
    <xf numFmtId="2" fontId="7" fillId="0" borderId="6" xfId="0" applyNumberFormat="1" applyFont="1" applyFill="1" applyBorder="1" applyAlignment="1" applyProtection="1">
      <alignment/>
      <protection hidden="1"/>
    </xf>
    <xf numFmtId="2" fontId="7" fillId="0" borderId="6" xfId="0" applyNumberFormat="1" applyFont="1" applyBorder="1" applyAlignment="1" applyProtection="1">
      <alignment/>
      <protection hidden="1"/>
    </xf>
    <xf numFmtId="2" fontId="0" fillId="3" borderId="7" xfId="0" applyNumberFormat="1" applyFill="1" applyBorder="1" applyAlignment="1" applyProtection="1">
      <alignment/>
      <protection hidden="1"/>
    </xf>
    <xf numFmtId="1" fontId="0" fillId="2" borderId="7" xfId="0" applyNumberFormat="1" applyFill="1" applyBorder="1" applyAlignment="1" applyProtection="1">
      <alignment/>
      <protection hidden="1"/>
    </xf>
    <xf numFmtId="1" fontId="0" fillId="2" borderId="8" xfId="0" applyNumberFormat="1" applyFill="1" applyBorder="1" applyAlignment="1" applyProtection="1">
      <alignment/>
      <protection hidden="1"/>
    </xf>
    <xf numFmtId="0" fontId="8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1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3" fontId="7" fillId="0" borderId="1" xfId="0" applyNumberFormat="1" applyFont="1" applyBorder="1" applyAlignment="1">
      <alignment horizontal="center"/>
    </xf>
    <xf numFmtId="0" fontId="12" fillId="0" borderId="0" xfId="15" applyFont="1" applyAlignment="1" applyProtection="1">
      <alignment/>
      <protection locked="0"/>
    </xf>
    <xf numFmtId="172" fontId="5" fillId="5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1" fontId="0" fillId="4" borderId="0" xfId="0" applyNumberFormat="1" applyFill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2" borderId="1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172" fontId="7" fillId="4" borderId="1" xfId="0" applyNumberFormat="1" applyFont="1" applyFill="1" applyBorder="1" applyAlignment="1">
      <alignment horizontal="center"/>
    </xf>
    <xf numFmtId="172" fontId="7" fillId="0" borderId="2" xfId="0" applyNumberFormat="1" applyFont="1" applyBorder="1" applyAlignment="1">
      <alignment horizontal="center"/>
    </xf>
    <xf numFmtId="172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172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5" borderId="11" xfId="0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/>
    </xf>
    <xf numFmtId="178" fontId="7" fillId="0" borderId="1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jurado@aq.upm.e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68"/>
  <sheetViews>
    <sheetView tabSelected="1" zoomScale="120" zoomScaleNormal="120" workbookViewId="0" topLeftCell="A1">
      <selection activeCell="E4" sqref="E4"/>
    </sheetView>
  </sheetViews>
  <sheetFormatPr defaultColWidth="11.421875" defaultRowHeight="12.75"/>
  <cols>
    <col min="1" max="1" width="5.7109375" style="0" customWidth="1"/>
    <col min="2" max="2" width="7.7109375" style="0" customWidth="1"/>
    <col min="3" max="3" width="5.8515625" style="1" customWidth="1"/>
    <col min="4" max="4" width="7.00390625" style="1" customWidth="1"/>
    <col min="5" max="5" width="8.00390625" style="0" customWidth="1"/>
    <col min="6" max="6" width="7.140625" style="0" customWidth="1"/>
    <col min="7" max="7" width="4.8515625" style="1" customWidth="1"/>
    <col min="8" max="8" width="1.57421875" style="0" customWidth="1"/>
    <col min="9" max="9" width="7.00390625" style="0" customWidth="1"/>
    <col min="10" max="10" width="5.28125" style="0" customWidth="1"/>
    <col min="11" max="11" width="5.00390625" style="0" customWidth="1"/>
    <col min="12" max="12" width="4.7109375" style="0" customWidth="1"/>
    <col min="13" max="13" width="5.8515625" style="0" customWidth="1"/>
    <col min="14" max="14" width="7.00390625" style="0" customWidth="1"/>
    <col min="15" max="15" width="5.140625" style="0" customWidth="1"/>
    <col min="16" max="16" width="5.00390625" style="0" customWidth="1"/>
    <col min="17" max="17" width="4.7109375" style="0" customWidth="1"/>
    <col min="18" max="18" width="5.421875" style="0" customWidth="1"/>
    <col min="19" max="19" width="8.140625" style="0" customWidth="1"/>
    <col min="20" max="20" width="8.57421875" style="0" customWidth="1"/>
    <col min="21" max="21" width="8.00390625" style="0" customWidth="1"/>
    <col min="22" max="22" width="6.8515625" style="0" customWidth="1"/>
    <col min="23" max="23" width="6.421875" style="0" customWidth="1"/>
  </cols>
  <sheetData>
    <row r="1" ht="6.75" customHeight="1"/>
    <row r="2" spans="2:20" ht="18">
      <c r="B2" s="77" t="s">
        <v>29</v>
      </c>
      <c r="C2" s="15"/>
      <c r="D2" s="15"/>
      <c r="E2" s="15"/>
      <c r="S2" s="37" t="s">
        <v>24</v>
      </c>
      <c r="T2" s="40" t="s">
        <v>25</v>
      </c>
    </row>
    <row r="3" ht="12" customHeight="1"/>
    <row r="4" spans="2:6" ht="18.75">
      <c r="B4" s="35" t="s">
        <v>0</v>
      </c>
      <c r="C4" s="1" t="s">
        <v>2</v>
      </c>
      <c r="E4" s="41">
        <v>3</v>
      </c>
      <c r="F4" s="8" t="s">
        <v>1</v>
      </c>
    </row>
    <row r="5" spans="2:6" ht="15.75" customHeight="1">
      <c r="B5" s="35" t="s">
        <v>17</v>
      </c>
      <c r="C5" s="3" t="s">
        <v>3</v>
      </c>
      <c r="E5" s="39">
        <v>21000</v>
      </c>
      <c r="F5" s="8" t="s">
        <v>4</v>
      </c>
    </row>
    <row r="6" spans="2:7" ht="18.75">
      <c r="B6" s="35" t="s">
        <v>5</v>
      </c>
      <c r="C6" s="1" t="s">
        <v>6</v>
      </c>
      <c r="E6" s="41">
        <v>26</v>
      </c>
      <c r="F6" s="8" t="s">
        <v>4</v>
      </c>
      <c r="G6" s="38" t="s">
        <v>26</v>
      </c>
    </row>
    <row r="7" ht="15.75">
      <c r="S7" s="8" t="s">
        <v>20</v>
      </c>
    </row>
    <row r="8" spans="2:23" ht="16.5" thickBot="1">
      <c r="B8" s="14" t="s">
        <v>22</v>
      </c>
      <c r="C8" s="1" t="s">
        <v>9</v>
      </c>
      <c r="D8" s="3" t="s">
        <v>8</v>
      </c>
      <c r="E8" s="67" t="s">
        <v>10</v>
      </c>
      <c r="F8" s="67" t="s">
        <v>11</v>
      </c>
      <c r="G8" s="3" t="s">
        <v>12</v>
      </c>
      <c r="I8" s="9" t="s">
        <v>13</v>
      </c>
      <c r="J8" s="68" t="s">
        <v>15</v>
      </c>
      <c r="K8" s="42" t="s">
        <v>7</v>
      </c>
      <c r="L8" s="42"/>
      <c r="M8" s="2" t="s">
        <v>16</v>
      </c>
      <c r="N8" s="9" t="s">
        <v>14</v>
      </c>
      <c r="O8" s="68" t="s">
        <v>15</v>
      </c>
      <c r="P8" s="42" t="s">
        <v>7</v>
      </c>
      <c r="Q8" s="42"/>
      <c r="R8" s="68" t="s">
        <v>16</v>
      </c>
      <c r="S8" s="3" t="s">
        <v>18</v>
      </c>
      <c r="T8" s="3" t="s">
        <v>19</v>
      </c>
      <c r="U8" s="1"/>
      <c r="V8" s="73" t="s">
        <v>21</v>
      </c>
      <c r="W8" s="73"/>
    </row>
    <row r="9" spans="2:22" ht="16.5" thickBot="1">
      <c r="B9" s="76">
        <v>300</v>
      </c>
      <c r="C9" s="55">
        <f>LOOKUP($B$9,$B10:$B21,C10:C21)</f>
        <v>10</v>
      </c>
      <c r="D9" s="54">
        <f>LOOKUP($B$9,$B10:$B21,D10:D21)</f>
        <v>58.8</v>
      </c>
      <c r="E9" s="78">
        <f aca="true" t="shared" si="0" ref="E9:T9">LOOKUP($B$9,$B10:$B21,E10:E21)</f>
        <v>8030</v>
      </c>
      <c r="F9" s="57">
        <f t="shared" si="0"/>
        <v>495</v>
      </c>
      <c r="G9" s="79">
        <f t="shared" si="0"/>
        <v>2.7</v>
      </c>
      <c r="H9" s="58"/>
      <c r="I9" s="78">
        <f t="shared" si="0"/>
        <v>7256.9039999999995</v>
      </c>
      <c r="J9" s="60">
        <f t="shared" si="0"/>
        <v>38.18996203377987</v>
      </c>
      <c r="K9" s="61">
        <f t="shared" si="0"/>
        <v>0.42773656805457433</v>
      </c>
      <c r="L9" s="62">
        <f t="shared" si="0"/>
        <v>0.6189230715732186</v>
      </c>
      <c r="M9" s="63">
        <f t="shared" si="0"/>
        <v>1.066256500767284</v>
      </c>
      <c r="N9" s="59">
        <f t="shared" si="0"/>
        <v>14074.471999999998</v>
      </c>
      <c r="O9" s="60">
        <f t="shared" si="0"/>
        <v>33.585706576465675</v>
      </c>
      <c r="P9" s="61">
        <f t="shared" si="0"/>
        <v>0.3761678226859318</v>
      </c>
      <c r="Q9" s="61">
        <f t="shared" si="0"/>
        <v>0.5919764500357785</v>
      </c>
      <c r="R9" s="63">
        <f t="shared" si="0"/>
        <v>1.0490693143124896</v>
      </c>
      <c r="S9" s="72">
        <f t="shared" si="0"/>
        <v>1991.3907505420798</v>
      </c>
      <c r="T9" s="72">
        <f t="shared" si="0"/>
        <v>3036.0243661185514</v>
      </c>
      <c r="U9" s="74">
        <f>LOOKUP($B$9,$B10:$B21,V10:V21)</f>
        <v>92.316</v>
      </c>
      <c r="V9" s="74">
        <f>LOOKUP($B$9,$B10:$B21,W10:W21)</f>
        <v>138.474</v>
      </c>
    </row>
    <row r="10" spans="2:23" s="16" customFormat="1" ht="15.75" hidden="1">
      <c r="B10" s="17">
        <v>80</v>
      </c>
      <c r="C10" s="18">
        <v>4.5</v>
      </c>
      <c r="D10" s="19">
        <v>11</v>
      </c>
      <c r="E10" s="16">
        <v>106</v>
      </c>
      <c r="F10" s="16">
        <v>19.4</v>
      </c>
      <c r="G10" s="20">
        <v>1.45</v>
      </c>
      <c r="I10" s="23">
        <f>2*E10</f>
        <v>212</v>
      </c>
      <c r="J10" s="24">
        <f>100*Lp/(SQRT(I10/(2*$D10)))</f>
        <v>96.64172308847475</v>
      </c>
      <c r="K10" s="25">
        <f>J10/(PI()*SQRT(E/fe))</f>
        <v>1.0824100565531076</v>
      </c>
      <c r="L10" s="26">
        <f>0.5+0.65*K10*K10</f>
        <v>1.261547494842746</v>
      </c>
      <c r="M10" s="27">
        <f>L10+SQRT((L10*L10)-K10*K10)</f>
        <v>1.9095371176120515</v>
      </c>
      <c r="N10" s="23">
        <f>3*E10</f>
        <v>318</v>
      </c>
      <c r="O10" s="24">
        <f>100*Lp/(SQRT(N10/(3*$D10)))</f>
        <v>96.64172308847475</v>
      </c>
      <c r="P10" s="25">
        <f>O10/(PI()*SQRT(E/fe))</f>
        <v>1.0824100565531076</v>
      </c>
      <c r="Q10" s="25">
        <f>0.5+0.65*P10*P10</f>
        <v>1.261547494842746</v>
      </c>
      <c r="R10" s="27">
        <f>Q10+SQRT((Q10*Q10)-P10*P10)</f>
        <v>1.9095371176120515</v>
      </c>
      <c r="S10" s="33">
        <f aca="true" t="shared" si="1" ref="S10:S21">2*D10*fe/(M10*1.44)</f>
        <v>208.02016287536935</v>
      </c>
      <c r="T10" s="34">
        <f aca="true" t="shared" si="2" ref="T10:T21">3*D10*fe/(R10*1.44)</f>
        <v>312.030244313054</v>
      </c>
      <c r="U10" s="17">
        <v>80</v>
      </c>
      <c r="V10" s="18">
        <f>0.785*D10*2</f>
        <v>17.27</v>
      </c>
      <c r="W10" s="18">
        <f>0.785*D10*3</f>
        <v>25.905</v>
      </c>
    </row>
    <row r="11" spans="2:23" s="16" customFormat="1" ht="15.75" hidden="1">
      <c r="B11" s="17">
        <v>100</v>
      </c>
      <c r="C11" s="18">
        <v>5</v>
      </c>
      <c r="D11" s="19">
        <v>13.5</v>
      </c>
      <c r="E11" s="16">
        <v>206</v>
      </c>
      <c r="F11" s="16">
        <v>29.3</v>
      </c>
      <c r="G11" s="20">
        <v>1.55</v>
      </c>
      <c r="I11" s="23">
        <f>2*($F11+$D11*($C11-$G11)^2)</f>
        <v>379.9675000000001</v>
      </c>
      <c r="J11" s="24">
        <f aca="true" t="shared" si="3" ref="J11:J21">100*Lp/(SQRT(I11/(2*$D11)))</f>
        <v>79.97051836250479</v>
      </c>
      <c r="K11" s="25">
        <f aca="true" t="shared" si="4" ref="K11:K21">J11/(PI()*SQRT(E/fe))</f>
        <v>0.8956886377542578</v>
      </c>
      <c r="L11" s="26">
        <f aca="true" t="shared" si="5" ref="L11:L21">0.5+0.65*K11*K11</f>
        <v>1.0214677882713508</v>
      </c>
      <c r="M11" s="27">
        <f aca="true" t="shared" si="6" ref="M11:M21">L11+SQRT((L11*L11)-K11*K11)</f>
        <v>1.5125261419055058</v>
      </c>
      <c r="N11" s="23">
        <f>MIN(I11+$F11+6*$D11*($C11+$G11)^2/9,3*E11)</f>
        <v>618</v>
      </c>
      <c r="O11" s="24">
        <f aca="true" t="shared" si="7" ref="O11:O21">100*Lp/(SQRT(N11/(3*$D11)))</f>
        <v>76.79881673845753</v>
      </c>
      <c r="P11" s="25">
        <f aca="true" t="shared" si="8" ref="P11:P21">O11/(PI()*SQRT(E/fe))</f>
        <v>0.8601648326673843</v>
      </c>
      <c r="Q11" s="25">
        <f aca="true" t="shared" si="9" ref="Q11:Q21">0.5+0.65*P11*P11</f>
        <v>0.980924300582511</v>
      </c>
      <c r="R11" s="27">
        <f aca="true" t="shared" si="10" ref="R11:R21">Q11+SQRT((Q11*Q11)-P11*P11)</f>
        <v>1.4524420034480334</v>
      </c>
      <c r="S11" s="21">
        <f t="shared" si="1"/>
        <v>322.30847883781985</v>
      </c>
      <c r="T11" s="22">
        <f t="shared" si="2"/>
        <v>503.46244343253966</v>
      </c>
      <c r="U11" s="17">
        <v>100</v>
      </c>
      <c r="V11" s="18">
        <f aca="true" t="shared" si="11" ref="V11:V21">0.785*D11*2</f>
        <v>21.195</v>
      </c>
      <c r="W11" s="18">
        <f aca="true" t="shared" si="12" ref="W11:W21">0.785*D11*3</f>
        <v>31.7925</v>
      </c>
    </row>
    <row r="12" spans="2:23" s="16" customFormat="1" ht="15.75" hidden="1">
      <c r="B12" s="17">
        <v>120</v>
      </c>
      <c r="C12" s="18">
        <v>5.5</v>
      </c>
      <c r="D12" s="19">
        <v>17</v>
      </c>
      <c r="E12" s="16">
        <v>364</v>
      </c>
      <c r="F12" s="16">
        <v>43.2</v>
      </c>
      <c r="G12" s="20">
        <v>1.6</v>
      </c>
      <c r="I12" s="23">
        <f aca="true" t="shared" si="13" ref="I12:I21">2*(F12+D12*(C12-G12)^2)</f>
        <v>603.54</v>
      </c>
      <c r="J12" s="24">
        <f t="shared" si="3"/>
        <v>71.20453981110127</v>
      </c>
      <c r="K12" s="25">
        <f t="shared" si="4"/>
        <v>0.7975076136961347</v>
      </c>
      <c r="L12" s="26">
        <f t="shared" si="5"/>
        <v>0.913411956037147</v>
      </c>
      <c r="M12" s="27">
        <f t="shared" si="6"/>
        <v>1.3587242144899139</v>
      </c>
      <c r="N12" s="23">
        <f aca="true" t="shared" si="14" ref="N12:N21">MIN(I12+$F12+6*$D12*($C12+$G12)^2/9,3*E12)</f>
        <v>1092</v>
      </c>
      <c r="O12" s="24">
        <f t="shared" si="7"/>
        <v>64.83283661306749</v>
      </c>
      <c r="P12" s="25">
        <f t="shared" si="8"/>
        <v>0.7261430374187704</v>
      </c>
      <c r="Q12" s="25">
        <f t="shared" si="9"/>
        <v>0.8427344120146425</v>
      </c>
      <c r="R12" s="27">
        <f t="shared" si="10"/>
        <v>1.270423058581169</v>
      </c>
      <c r="S12" s="21">
        <f t="shared" si="1"/>
        <v>451.81272427631853</v>
      </c>
      <c r="T12" s="22">
        <f t="shared" si="2"/>
        <v>724.8241655513843</v>
      </c>
      <c r="U12" s="17">
        <v>120</v>
      </c>
      <c r="V12" s="18">
        <f t="shared" si="11"/>
        <v>26.69</v>
      </c>
      <c r="W12" s="18">
        <f t="shared" si="12"/>
        <v>40.035000000000004</v>
      </c>
    </row>
    <row r="13" spans="2:23" s="16" customFormat="1" ht="15.75" hidden="1">
      <c r="B13" s="17">
        <v>140</v>
      </c>
      <c r="C13" s="18">
        <v>6</v>
      </c>
      <c r="D13" s="19">
        <v>20.4</v>
      </c>
      <c r="E13" s="16">
        <v>605</v>
      </c>
      <c r="F13" s="16">
        <v>62.7</v>
      </c>
      <c r="G13" s="20">
        <v>1.75</v>
      </c>
      <c r="I13" s="23">
        <f t="shared" si="13"/>
        <v>862.3499999999999</v>
      </c>
      <c r="J13" s="24">
        <f t="shared" si="3"/>
        <v>65.25436268187147</v>
      </c>
      <c r="K13" s="25">
        <f t="shared" si="4"/>
        <v>0.7308642286536889</v>
      </c>
      <c r="L13" s="26">
        <f t="shared" si="5"/>
        <v>0.8472056384716087</v>
      </c>
      <c r="M13" s="27">
        <f t="shared" si="6"/>
        <v>1.2756853616004102</v>
      </c>
      <c r="N13" s="23">
        <f t="shared" si="14"/>
        <v>1741.8999999999999</v>
      </c>
      <c r="O13" s="24">
        <f t="shared" si="7"/>
        <v>56.23223641669622</v>
      </c>
      <c r="P13" s="25">
        <f t="shared" si="8"/>
        <v>0.6298142898816199</v>
      </c>
      <c r="Q13" s="25">
        <f t="shared" si="9"/>
        <v>0.757832925830408</v>
      </c>
      <c r="R13" s="27">
        <f t="shared" si="10"/>
        <v>1.1793121112400642</v>
      </c>
      <c r="S13" s="21">
        <f t="shared" si="1"/>
        <v>577.467366829766</v>
      </c>
      <c r="T13" s="22">
        <f t="shared" si="2"/>
        <v>936.9869006416596</v>
      </c>
      <c r="U13" s="17">
        <v>140</v>
      </c>
      <c r="V13" s="18">
        <f t="shared" si="11"/>
        <v>32.028</v>
      </c>
      <c r="W13" s="18">
        <f t="shared" si="12"/>
        <v>48.042</v>
      </c>
    </row>
    <row r="14" spans="2:23" s="16" customFormat="1" ht="15.75" hidden="1">
      <c r="B14" s="17">
        <v>160</v>
      </c>
      <c r="C14" s="18">
        <v>6.5</v>
      </c>
      <c r="D14" s="19">
        <v>24</v>
      </c>
      <c r="E14" s="16">
        <v>925</v>
      </c>
      <c r="F14" s="16">
        <v>85.3</v>
      </c>
      <c r="G14" s="20">
        <v>1.84</v>
      </c>
      <c r="I14" s="23">
        <f t="shared" si="13"/>
        <v>1212.9488000000001</v>
      </c>
      <c r="J14" s="24">
        <f t="shared" si="3"/>
        <v>59.678876527838696</v>
      </c>
      <c r="K14" s="25">
        <f t="shared" si="4"/>
        <v>0.6684174707686632</v>
      </c>
      <c r="L14" s="26">
        <f t="shared" si="5"/>
        <v>0.7904082448987049</v>
      </c>
      <c r="M14" s="27">
        <f t="shared" si="6"/>
        <v>1.2122651855492936</v>
      </c>
      <c r="N14" s="23">
        <f t="shared" si="14"/>
        <v>2411.1384</v>
      </c>
      <c r="O14" s="24">
        <f t="shared" si="7"/>
        <v>51.841365590889396</v>
      </c>
      <c r="P14" s="25">
        <f t="shared" si="8"/>
        <v>0.5806355026353714</v>
      </c>
      <c r="Q14" s="25">
        <f t="shared" si="9"/>
        <v>0.7191394314984099</v>
      </c>
      <c r="R14" s="27">
        <f t="shared" si="10"/>
        <v>1.143431706958647</v>
      </c>
      <c r="S14" s="21">
        <f t="shared" si="1"/>
        <v>714.9150837602982</v>
      </c>
      <c r="T14" s="22">
        <f t="shared" si="2"/>
        <v>1136.9284165276479</v>
      </c>
      <c r="U14" s="17">
        <v>160</v>
      </c>
      <c r="V14" s="18">
        <f t="shared" si="11"/>
        <v>37.68</v>
      </c>
      <c r="W14" s="18">
        <f t="shared" si="12"/>
        <v>56.519999999999996</v>
      </c>
    </row>
    <row r="15" spans="2:23" s="16" customFormat="1" ht="15.75" hidden="1">
      <c r="B15" s="17">
        <v>180</v>
      </c>
      <c r="C15" s="18">
        <v>7</v>
      </c>
      <c r="D15" s="19">
        <v>28</v>
      </c>
      <c r="E15" s="16">
        <v>1350</v>
      </c>
      <c r="F15" s="16">
        <v>114</v>
      </c>
      <c r="G15" s="20">
        <v>1.92</v>
      </c>
      <c r="I15" s="23">
        <f t="shared" si="13"/>
        <v>1673.1584</v>
      </c>
      <c r="J15" s="24">
        <f t="shared" si="3"/>
        <v>54.88412429070993</v>
      </c>
      <c r="K15" s="25">
        <f t="shared" si="4"/>
        <v>0.6147151166063994</v>
      </c>
      <c r="L15" s="26">
        <f t="shared" si="5"/>
        <v>0.7456185384798726</v>
      </c>
      <c r="M15" s="27">
        <f t="shared" si="6"/>
        <v>1.1676047116425037</v>
      </c>
      <c r="N15" s="23">
        <f t="shared" si="14"/>
        <v>3272.397866666667</v>
      </c>
      <c r="O15" s="24">
        <f t="shared" si="7"/>
        <v>48.06487833316829</v>
      </c>
      <c r="P15" s="25">
        <f t="shared" si="8"/>
        <v>0.5383379560316159</v>
      </c>
      <c r="Q15" s="25">
        <f t="shared" si="9"/>
        <v>0.6883750406877938</v>
      </c>
      <c r="R15" s="27">
        <f t="shared" si="10"/>
        <v>1.1173883758390728</v>
      </c>
      <c r="S15" s="21">
        <f t="shared" si="1"/>
        <v>865.970393086845</v>
      </c>
      <c r="T15" s="22">
        <f t="shared" si="2"/>
        <v>1357.3317026210932</v>
      </c>
      <c r="U15" s="17">
        <v>180</v>
      </c>
      <c r="V15" s="18">
        <f t="shared" si="11"/>
        <v>43.96</v>
      </c>
      <c r="W15" s="18">
        <f t="shared" si="12"/>
        <v>65.94</v>
      </c>
    </row>
    <row r="16" spans="2:23" s="16" customFormat="1" ht="15.75" hidden="1">
      <c r="B16" s="17">
        <v>200</v>
      </c>
      <c r="C16" s="18">
        <v>7.5</v>
      </c>
      <c r="D16" s="19">
        <v>32.2</v>
      </c>
      <c r="E16" s="16">
        <v>1910</v>
      </c>
      <c r="F16" s="16">
        <v>148</v>
      </c>
      <c r="G16" s="20">
        <v>2.01</v>
      </c>
      <c r="I16" s="23">
        <f t="shared" si="13"/>
        <v>2237.0224400000006</v>
      </c>
      <c r="J16" s="24">
        <f t="shared" si="3"/>
        <v>50.901316865645306</v>
      </c>
      <c r="K16" s="25">
        <f t="shared" si="4"/>
        <v>0.5701067355424814</v>
      </c>
      <c r="L16" s="26">
        <f t="shared" si="5"/>
        <v>0.7112640984420882</v>
      </c>
      <c r="M16" s="27">
        <f t="shared" si="6"/>
        <v>1.1365580295317896</v>
      </c>
      <c r="N16" s="23">
        <f t="shared" si="14"/>
        <v>4326.4699200000005</v>
      </c>
      <c r="O16" s="24">
        <f t="shared" si="7"/>
        <v>44.82734046462449</v>
      </c>
      <c r="P16" s="25">
        <f t="shared" si="8"/>
        <v>0.5020767695027384</v>
      </c>
      <c r="Q16" s="25">
        <f t="shared" si="9"/>
        <v>0.6638527036082988</v>
      </c>
      <c r="R16" s="27">
        <f t="shared" si="10"/>
        <v>1.0981559727805927</v>
      </c>
      <c r="S16" s="21">
        <f t="shared" si="1"/>
        <v>1023.0694320612821</v>
      </c>
      <c r="T16" s="22">
        <f t="shared" si="2"/>
        <v>1588.2686156597035</v>
      </c>
      <c r="U16" s="17">
        <v>200</v>
      </c>
      <c r="V16" s="18">
        <f t="shared" si="11"/>
        <v>50.55400000000001</v>
      </c>
      <c r="W16" s="18">
        <f t="shared" si="12"/>
        <v>75.83100000000002</v>
      </c>
    </row>
    <row r="17" spans="2:23" s="16" customFormat="1" ht="15.75" hidden="1">
      <c r="B17" s="17">
        <v>220</v>
      </c>
      <c r="C17" s="18">
        <v>8</v>
      </c>
      <c r="D17" s="19">
        <v>37.4</v>
      </c>
      <c r="E17" s="16">
        <v>2690</v>
      </c>
      <c r="F17" s="16">
        <v>197</v>
      </c>
      <c r="G17" s="20">
        <v>2.14</v>
      </c>
      <c r="I17" s="23">
        <f t="shared" si="13"/>
        <v>2962.602079999999</v>
      </c>
      <c r="J17" s="24">
        <f t="shared" si="3"/>
        <v>47.66892871520511</v>
      </c>
      <c r="K17" s="25">
        <f t="shared" si="4"/>
        <v>0.5339032270690607</v>
      </c>
      <c r="L17" s="26">
        <f t="shared" si="5"/>
        <v>0.6852842263185921</v>
      </c>
      <c r="M17" s="27">
        <f t="shared" si="6"/>
        <v>1.1148908079328805</v>
      </c>
      <c r="N17" s="23">
        <f t="shared" si="14"/>
        <v>5723.237439999999</v>
      </c>
      <c r="O17" s="24">
        <f t="shared" si="7"/>
        <v>42.00459495801273</v>
      </c>
      <c r="P17" s="25">
        <f t="shared" si="8"/>
        <v>0.4704613551061066</v>
      </c>
      <c r="Q17" s="25">
        <f t="shared" si="9"/>
        <v>0.6438670263213782</v>
      </c>
      <c r="R17" s="27">
        <f t="shared" si="10"/>
        <v>1.0834473499661703</v>
      </c>
      <c r="S17" s="21">
        <f t="shared" si="1"/>
        <v>1211.379218436307</v>
      </c>
      <c r="T17" s="22">
        <f t="shared" si="2"/>
        <v>1869.8032104620388</v>
      </c>
      <c r="U17" s="17">
        <v>220</v>
      </c>
      <c r="V17" s="18">
        <f t="shared" si="11"/>
        <v>58.718</v>
      </c>
      <c r="W17" s="18">
        <f t="shared" si="12"/>
        <v>88.077</v>
      </c>
    </row>
    <row r="18" spans="2:23" s="16" customFormat="1" ht="15.75" hidden="1">
      <c r="B18" s="17">
        <v>240</v>
      </c>
      <c r="C18" s="18">
        <v>8.5</v>
      </c>
      <c r="D18" s="19">
        <v>42.3</v>
      </c>
      <c r="E18" s="16">
        <v>3600</v>
      </c>
      <c r="F18" s="16">
        <v>248</v>
      </c>
      <c r="G18" s="20">
        <v>2.23</v>
      </c>
      <c r="I18" s="23">
        <f t="shared" si="13"/>
        <v>3821.8713399999992</v>
      </c>
      <c r="J18" s="24">
        <f t="shared" si="3"/>
        <v>44.6342667742008</v>
      </c>
      <c r="K18" s="25">
        <f t="shared" si="4"/>
        <v>0.49991429870346366</v>
      </c>
      <c r="L18" s="26">
        <f t="shared" si="5"/>
        <v>0.6624442989313144</v>
      </c>
      <c r="M18" s="27">
        <f t="shared" si="6"/>
        <v>1.0970914467862438</v>
      </c>
      <c r="N18" s="23">
        <f t="shared" si="14"/>
        <v>7316.619119999999</v>
      </c>
      <c r="O18" s="24">
        <f t="shared" si="7"/>
        <v>39.50907318089565</v>
      </c>
      <c r="P18" s="25">
        <f t="shared" si="8"/>
        <v>0.4425109235370636</v>
      </c>
      <c r="Q18" s="25">
        <f t="shared" si="9"/>
        <v>0.6272803463422563</v>
      </c>
      <c r="R18" s="27">
        <f t="shared" si="10"/>
        <v>1.071875347953426</v>
      </c>
      <c r="S18" s="21">
        <f t="shared" si="1"/>
        <v>1392.3178459503717</v>
      </c>
      <c r="T18" s="22">
        <f t="shared" si="2"/>
        <v>2137.6086355328293</v>
      </c>
      <c r="U18" s="17">
        <v>240</v>
      </c>
      <c r="V18" s="18">
        <f t="shared" si="11"/>
        <v>66.411</v>
      </c>
      <c r="W18" s="18">
        <f t="shared" si="12"/>
        <v>99.6165</v>
      </c>
    </row>
    <row r="19" spans="2:23" s="16" customFormat="1" ht="15.75" hidden="1">
      <c r="B19" s="17">
        <v>260</v>
      </c>
      <c r="C19" s="18">
        <v>9</v>
      </c>
      <c r="D19" s="19">
        <v>48.3</v>
      </c>
      <c r="E19" s="16">
        <v>4820</v>
      </c>
      <c r="F19" s="16">
        <v>317</v>
      </c>
      <c r="G19" s="20">
        <v>2.36</v>
      </c>
      <c r="I19" s="23">
        <f t="shared" si="13"/>
        <v>4893.05536</v>
      </c>
      <c r="J19" s="24">
        <f t="shared" si="3"/>
        <v>42.152152155707675</v>
      </c>
      <c r="K19" s="25">
        <f t="shared" si="4"/>
        <v>0.4721140304682334</v>
      </c>
      <c r="L19" s="26">
        <f t="shared" si="5"/>
        <v>0.644879577547224</v>
      </c>
      <c r="M19" s="27">
        <f t="shared" si="6"/>
        <v>1.0841722041328816</v>
      </c>
      <c r="N19" s="23">
        <f t="shared" si="14"/>
        <v>9365.45248</v>
      </c>
      <c r="O19" s="24">
        <f t="shared" si="7"/>
        <v>37.315654654334715</v>
      </c>
      <c r="P19" s="25">
        <f t="shared" si="8"/>
        <v>0.41794411951592764</v>
      </c>
      <c r="Q19" s="25">
        <f t="shared" si="9"/>
        <v>0.6135402365746636</v>
      </c>
      <c r="R19" s="27">
        <f t="shared" si="10"/>
        <v>1.0627109556316277</v>
      </c>
      <c r="S19" s="21">
        <f t="shared" si="1"/>
        <v>1608.7542735534776</v>
      </c>
      <c r="T19" s="22">
        <f t="shared" si="2"/>
        <v>2461.8641467237144</v>
      </c>
      <c r="U19" s="17">
        <v>260</v>
      </c>
      <c r="V19" s="18">
        <f t="shared" si="11"/>
        <v>75.831</v>
      </c>
      <c r="W19" s="18">
        <f t="shared" si="12"/>
        <v>113.7465</v>
      </c>
    </row>
    <row r="20" spans="2:23" s="16" customFormat="1" ht="15.75" hidden="1">
      <c r="B20" s="17">
        <v>280</v>
      </c>
      <c r="C20" s="18">
        <v>9.5</v>
      </c>
      <c r="D20" s="19">
        <v>53.5</v>
      </c>
      <c r="E20" s="16">
        <v>6280</v>
      </c>
      <c r="F20" s="16">
        <v>399</v>
      </c>
      <c r="G20" s="20">
        <v>2.53</v>
      </c>
      <c r="I20" s="23">
        <f t="shared" si="13"/>
        <v>5996.156300000001</v>
      </c>
      <c r="J20" s="24">
        <f t="shared" si="3"/>
        <v>40.07528975375873</v>
      </c>
      <c r="K20" s="25">
        <f t="shared" si="4"/>
        <v>0.4488526824903157</v>
      </c>
      <c r="L20" s="26">
        <f t="shared" si="5"/>
        <v>0.630954674876189</v>
      </c>
      <c r="M20" s="27">
        <f t="shared" si="6"/>
        <v>1.0743902070219171</v>
      </c>
      <c r="N20" s="23">
        <f t="shared" si="14"/>
        <v>11556.8684</v>
      </c>
      <c r="O20" s="24">
        <f t="shared" si="7"/>
        <v>35.354010708421356</v>
      </c>
      <c r="P20" s="25">
        <f t="shared" si="8"/>
        <v>0.3959732453781676</v>
      </c>
      <c r="Q20" s="25">
        <f t="shared" si="9"/>
        <v>0.6019166271859571</v>
      </c>
      <c r="R20" s="27">
        <f t="shared" si="10"/>
        <v>1.0552474280671678</v>
      </c>
      <c r="S20" s="21">
        <f t="shared" si="1"/>
        <v>1798.177637712807</v>
      </c>
      <c r="T20" s="22">
        <f t="shared" si="2"/>
        <v>2746.196379719782</v>
      </c>
      <c r="U20" s="17">
        <v>280</v>
      </c>
      <c r="V20" s="18">
        <f t="shared" si="11"/>
        <v>83.995</v>
      </c>
      <c r="W20" s="18">
        <f t="shared" si="12"/>
        <v>125.9925</v>
      </c>
    </row>
    <row r="21" spans="2:23" s="16" customFormat="1" ht="15.75" hidden="1">
      <c r="B21" s="17">
        <v>300</v>
      </c>
      <c r="C21" s="18">
        <v>10</v>
      </c>
      <c r="D21" s="19">
        <v>58.8</v>
      </c>
      <c r="E21" s="16">
        <v>8030</v>
      </c>
      <c r="F21" s="16">
        <v>495</v>
      </c>
      <c r="G21" s="20">
        <v>2.7</v>
      </c>
      <c r="I21" s="28">
        <f t="shared" si="13"/>
        <v>7256.9039999999995</v>
      </c>
      <c r="J21" s="29">
        <f t="shared" si="3"/>
        <v>38.18996203377987</v>
      </c>
      <c r="K21" s="30">
        <f t="shared" si="4"/>
        <v>0.42773656805457433</v>
      </c>
      <c r="L21" s="31">
        <f t="shared" si="5"/>
        <v>0.6189230715732186</v>
      </c>
      <c r="M21" s="32">
        <f t="shared" si="6"/>
        <v>1.066256500767284</v>
      </c>
      <c r="N21" s="28">
        <f t="shared" si="14"/>
        <v>14074.471999999998</v>
      </c>
      <c r="O21" s="29">
        <f t="shared" si="7"/>
        <v>33.585706576465675</v>
      </c>
      <c r="P21" s="30">
        <f t="shared" si="8"/>
        <v>0.3761678226859318</v>
      </c>
      <c r="Q21" s="30">
        <f t="shared" si="9"/>
        <v>0.5919764500357785</v>
      </c>
      <c r="R21" s="32">
        <f t="shared" si="10"/>
        <v>1.0490693143124896</v>
      </c>
      <c r="S21" s="21">
        <f t="shared" si="1"/>
        <v>1991.3907505420798</v>
      </c>
      <c r="T21" s="22">
        <f t="shared" si="2"/>
        <v>3036.0243661185514</v>
      </c>
      <c r="U21" s="17">
        <v>300</v>
      </c>
      <c r="V21" s="18">
        <f t="shared" si="11"/>
        <v>92.316</v>
      </c>
      <c r="W21" s="18">
        <f t="shared" si="12"/>
        <v>138.474</v>
      </c>
    </row>
    <row r="24" spans="2:23" ht="16.5" thickBot="1">
      <c r="B24" s="14" t="s">
        <v>23</v>
      </c>
      <c r="D24" s="67" t="s">
        <v>8</v>
      </c>
      <c r="E24" s="67" t="s">
        <v>10</v>
      </c>
      <c r="F24" s="36"/>
      <c r="G24" s="69"/>
      <c r="H24" s="36"/>
      <c r="I24" s="36"/>
      <c r="J24" s="68" t="s">
        <v>15</v>
      </c>
      <c r="K24" s="36"/>
      <c r="L24" s="36"/>
      <c r="M24" s="68" t="s">
        <v>16</v>
      </c>
      <c r="S24" s="8" t="s">
        <v>20</v>
      </c>
      <c r="V24" s="73" t="s">
        <v>21</v>
      </c>
      <c r="W24" s="73"/>
    </row>
    <row r="25" spans="2:22" ht="16.5" thickBot="1">
      <c r="B25" s="76" t="s">
        <v>28</v>
      </c>
      <c r="D25" s="54">
        <f>LOOKUP($B$25,$T26:$T45,D26:D45)</f>
        <v>16.1</v>
      </c>
      <c r="E25" s="56">
        <f>LOOKUP($B$25,$T26:$T45,E26:E45)</f>
        <v>189</v>
      </c>
      <c r="F25" s="64"/>
      <c r="G25" s="65"/>
      <c r="H25" s="64"/>
      <c r="I25" s="64"/>
      <c r="J25" s="60">
        <f>LOOKUP($B$25,$T26:$T45,J26:J45)</f>
        <v>87.55950357709132</v>
      </c>
      <c r="K25" s="61">
        <f>LOOKUP($B$25,$T26:$T45,K26:K45)</f>
        <v>0.9806870592722711</v>
      </c>
      <c r="L25" s="62">
        <f>LOOKUP($B$25,$T26:$T45,L26:L45)</f>
        <v>1.1251356203456617</v>
      </c>
      <c r="M25" s="63">
        <f>LOOKUP($B$25,$T26:$T45,M26:M45)</f>
        <v>1.6766635488737847</v>
      </c>
      <c r="R25" s="8"/>
      <c r="S25" s="71">
        <f>LOOKUP($B$25,$T26:$T45,S26:S45)</f>
        <v>173.37673061462093</v>
      </c>
      <c r="V25" s="74">
        <f>LOOKUP($B$25,$T26:$T45,V26:V45)</f>
        <v>12.638500000000002</v>
      </c>
    </row>
    <row r="26" spans="2:22" ht="15.75" hidden="1">
      <c r="B26" s="1">
        <v>40</v>
      </c>
      <c r="C26" s="14">
        <v>3</v>
      </c>
      <c r="D26" s="12">
        <v>4.13</v>
      </c>
      <c r="E26" s="6">
        <v>9.01</v>
      </c>
      <c r="J26" s="7">
        <f>100*Lp/(SQRT(E26/D26))</f>
        <v>203.11120609699347</v>
      </c>
      <c r="K26" s="10">
        <f aca="true" t="shared" si="15" ref="K26:K45">J26/(PI()*SQRT(E/fe))</f>
        <v>2.2748933385298398</v>
      </c>
      <c r="L26" s="11">
        <f>0.5+0.65*K26*K26</f>
        <v>3.8638408060968366</v>
      </c>
      <c r="M26" s="13">
        <f>L26+SQRT((L26*L26)-K26*K26)</f>
        <v>6.987000435890295</v>
      </c>
      <c r="S26" s="4">
        <f aca="true" t="shared" si="16" ref="S26:S45">D26*fe/(M26*1.44)</f>
        <v>10.672597651690669</v>
      </c>
      <c r="T26" s="1" t="str">
        <f>TEXT(B26,0)&amp;"x"&amp;TEXT(C26,0)</f>
        <v>40x3</v>
      </c>
      <c r="U26" s="14"/>
      <c r="V26" s="5">
        <f>0.785*D26</f>
        <v>3.24205</v>
      </c>
    </row>
    <row r="27" spans="2:22" ht="15.75" hidden="1">
      <c r="B27" s="1">
        <v>40</v>
      </c>
      <c r="C27" s="14">
        <v>4</v>
      </c>
      <c r="D27" s="12">
        <v>5.21</v>
      </c>
      <c r="E27" s="6">
        <v>10.3</v>
      </c>
      <c r="J27" s="7">
        <f>100*Lp/(SQRT(E27/D27))</f>
        <v>213.36417657296687</v>
      </c>
      <c r="K27" s="10">
        <f t="shared" si="15"/>
        <v>2.38972902231184</v>
      </c>
      <c r="L27" s="11">
        <f aca="true" t="shared" si="17" ref="L27:L45">0.5+0.65*K27*K27</f>
        <v>4.212023120051677</v>
      </c>
      <c r="M27" s="13">
        <f aca="true" t="shared" si="18" ref="M27:M45">L27+SQRT((L27*L27)-K27*K27)</f>
        <v>7.680500302299006</v>
      </c>
      <c r="S27" s="4">
        <f t="shared" si="16"/>
        <v>12.247827711989885</v>
      </c>
      <c r="T27" s="1" t="str">
        <f aca="true" t="shared" si="19" ref="T27:T45">TEXT(B27,0)&amp;"x"&amp;TEXT(C27,0)</f>
        <v>40x4</v>
      </c>
      <c r="U27" s="14"/>
      <c r="V27" s="5">
        <f aca="true" t="shared" si="20" ref="V27:V45">0.785*D27</f>
        <v>4.08985</v>
      </c>
    </row>
    <row r="28" spans="2:22" ht="15.75" hidden="1">
      <c r="B28" s="1">
        <v>50</v>
      </c>
      <c r="C28" s="14">
        <v>3</v>
      </c>
      <c r="D28" s="12">
        <v>5.33</v>
      </c>
      <c r="E28" s="6">
        <v>19</v>
      </c>
      <c r="J28" s="7">
        <f>100*Lp/(SQRT(E28/D28))</f>
        <v>158.8942051210573</v>
      </c>
      <c r="K28" s="10">
        <f t="shared" si="15"/>
        <v>1.7796525150280114</v>
      </c>
      <c r="L28" s="11">
        <f t="shared" si="17"/>
        <v>2.5586559982595922</v>
      </c>
      <c r="M28" s="13">
        <f t="shared" si="18"/>
        <v>4.39701326581785</v>
      </c>
      <c r="S28" s="4">
        <f t="shared" si="16"/>
        <v>21.886700196982712</v>
      </c>
      <c r="T28" s="1" t="str">
        <f t="shared" si="19"/>
        <v>50x3</v>
      </c>
      <c r="U28" s="14"/>
      <c r="V28" s="5">
        <f t="shared" si="20"/>
        <v>4.18405</v>
      </c>
    </row>
    <row r="29" spans="2:22" ht="15.75" hidden="1">
      <c r="B29" s="1">
        <v>50</v>
      </c>
      <c r="C29" s="14">
        <v>4</v>
      </c>
      <c r="D29" s="12">
        <v>6.81</v>
      </c>
      <c r="E29" s="6">
        <v>22.9</v>
      </c>
      <c r="J29" s="7">
        <f>100*Lp/(SQRT(E29/D29))</f>
        <v>163.59765322197623</v>
      </c>
      <c r="K29" s="10">
        <f t="shared" si="15"/>
        <v>1.8323322413637002</v>
      </c>
      <c r="L29" s="11">
        <f t="shared" si="17"/>
        <v>2.682336937781599</v>
      </c>
      <c r="M29" s="13">
        <f t="shared" si="18"/>
        <v>4.641288189101203</v>
      </c>
      <c r="S29" s="4">
        <f t="shared" si="16"/>
        <v>26.492285831779927</v>
      </c>
      <c r="T29" s="1" t="str">
        <f t="shared" si="19"/>
        <v>50x4</v>
      </c>
      <c r="U29" s="14"/>
      <c r="V29" s="5">
        <f t="shared" si="20"/>
        <v>5.3458499999999995</v>
      </c>
    </row>
    <row r="30" spans="2:22" ht="15.75" hidden="1">
      <c r="B30" s="1">
        <v>60</v>
      </c>
      <c r="C30" s="14">
        <v>3</v>
      </c>
      <c r="D30" s="12">
        <v>6.53</v>
      </c>
      <c r="E30" s="6">
        <v>34.4</v>
      </c>
      <c r="J30" s="7">
        <f>100*Lp/(SQRT(E30/D30))</f>
        <v>130.70693296677646</v>
      </c>
      <c r="K30" s="10">
        <f t="shared" si="15"/>
        <v>1.4639484291368574</v>
      </c>
      <c r="L30" s="11">
        <f t="shared" si="17"/>
        <v>1.893044252061977</v>
      </c>
      <c r="M30" s="13">
        <f t="shared" si="18"/>
        <v>3.093240709769055</v>
      </c>
      <c r="S30" s="4">
        <f t="shared" si="16"/>
        <v>38.11626344028705</v>
      </c>
      <c r="T30" s="1" t="str">
        <f t="shared" si="19"/>
        <v>60x3</v>
      </c>
      <c r="U30" s="14"/>
      <c r="V30" s="5">
        <f t="shared" si="20"/>
        <v>5.12605</v>
      </c>
    </row>
    <row r="31" spans="2:22" ht="15.75" hidden="1">
      <c r="B31" s="1">
        <v>60</v>
      </c>
      <c r="C31" s="14">
        <v>4</v>
      </c>
      <c r="D31" s="12">
        <v>8.41</v>
      </c>
      <c r="E31" s="6">
        <v>42.3</v>
      </c>
      <c r="J31" s="7">
        <f>100*Lp/(SQRT(E31/D31))</f>
        <v>133.76702516418834</v>
      </c>
      <c r="K31" s="10">
        <f t="shared" si="15"/>
        <v>1.4982221823627384</v>
      </c>
      <c r="L31" s="11">
        <f t="shared" si="17"/>
        <v>1.9590353100204483</v>
      </c>
      <c r="M31" s="13">
        <f t="shared" si="18"/>
        <v>3.2212356262076796</v>
      </c>
      <c r="S31" s="4">
        <f t="shared" si="16"/>
        <v>47.139433385998544</v>
      </c>
      <c r="T31" s="1" t="str">
        <f t="shared" si="19"/>
        <v>60x4</v>
      </c>
      <c r="U31" s="14"/>
      <c r="V31" s="5">
        <f t="shared" si="20"/>
        <v>6.601850000000001</v>
      </c>
    </row>
    <row r="32" spans="2:22" ht="15.75" hidden="1">
      <c r="B32" s="1">
        <v>60</v>
      </c>
      <c r="C32" s="14">
        <v>5</v>
      </c>
      <c r="D32" s="12">
        <v>10.1</v>
      </c>
      <c r="E32" s="6">
        <v>48.5</v>
      </c>
      <c r="J32" s="7">
        <f>100*Lp/(SQRT(E32/D32))</f>
        <v>136.90240334353928</v>
      </c>
      <c r="K32" s="10">
        <f t="shared" si="15"/>
        <v>1.5333391563152792</v>
      </c>
      <c r="L32" s="11">
        <f t="shared" si="17"/>
        <v>2.028233829388274</v>
      </c>
      <c r="M32" s="13">
        <f t="shared" si="18"/>
        <v>3.3558646132982313</v>
      </c>
      <c r="S32" s="4">
        <f t="shared" si="16"/>
        <v>54.341021502617124</v>
      </c>
      <c r="T32" s="1" t="str">
        <f t="shared" si="19"/>
        <v>60x5</v>
      </c>
      <c r="U32" s="14"/>
      <c r="V32" s="5">
        <f t="shared" si="20"/>
        <v>7.9285</v>
      </c>
    </row>
    <row r="33" spans="2:22" ht="15.75" hidden="1">
      <c r="B33" s="1">
        <v>60</v>
      </c>
      <c r="C33" s="14">
        <v>6</v>
      </c>
      <c r="D33" s="12">
        <v>11.72</v>
      </c>
      <c r="E33" s="6">
        <v>52.84</v>
      </c>
      <c r="J33" s="7">
        <f>100*Lp/(SQRT(E33/D33))</f>
        <v>141.28747250357924</v>
      </c>
      <c r="K33" s="10">
        <f t="shared" si="15"/>
        <v>1.5824529635387163</v>
      </c>
      <c r="L33" s="11">
        <f t="shared" si="17"/>
        <v>2.127702298178103</v>
      </c>
      <c r="M33" s="13">
        <f t="shared" si="18"/>
        <v>3.5500101719733355</v>
      </c>
      <c r="S33" s="4">
        <f t="shared" si="16"/>
        <v>59.60859289411089</v>
      </c>
      <c r="T33" s="1" t="str">
        <f t="shared" si="19"/>
        <v>60x6</v>
      </c>
      <c r="U33" s="14"/>
      <c r="V33" s="5">
        <f t="shared" si="20"/>
        <v>9.2002</v>
      </c>
    </row>
    <row r="34" spans="2:22" ht="15.75" hidden="1">
      <c r="B34" s="1">
        <v>70</v>
      </c>
      <c r="C34" s="14">
        <v>3</v>
      </c>
      <c r="D34" s="12">
        <v>7.73</v>
      </c>
      <c r="E34" s="6">
        <v>56.6</v>
      </c>
      <c r="J34" s="7">
        <f>100*Lp/(SQRT(E34/D34))</f>
        <v>110.8671251301709</v>
      </c>
      <c r="K34" s="10">
        <f t="shared" si="15"/>
        <v>1.241737909331007</v>
      </c>
      <c r="L34" s="11">
        <f t="shared" si="17"/>
        <v>1.5022434730553311</v>
      </c>
      <c r="M34" s="13">
        <f t="shared" si="18"/>
        <v>2.347715185691303</v>
      </c>
      <c r="S34" s="4">
        <f t="shared" si="16"/>
        <v>59.449052975029915</v>
      </c>
      <c r="T34" s="1" t="str">
        <f t="shared" si="19"/>
        <v>70x3</v>
      </c>
      <c r="U34" s="14"/>
      <c r="V34" s="5">
        <f t="shared" si="20"/>
        <v>6.06805</v>
      </c>
    </row>
    <row r="35" spans="2:22" ht="15.75" hidden="1">
      <c r="B35" s="1">
        <v>70</v>
      </c>
      <c r="C35" s="14">
        <v>4</v>
      </c>
      <c r="D35" s="12">
        <v>10</v>
      </c>
      <c r="E35" s="6">
        <v>70.4</v>
      </c>
      <c r="J35" s="7">
        <f>100*Lp/(SQRT(E35/D35))</f>
        <v>113.06675421666135</v>
      </c>
      <c r="K35" s="10">
        <f t="shared" si="15"/>
        <v>1.2663742730858658</v>
      </c>
      <c r="L35" s="11">
        <f t="shared" si="17"/>
        <v>1.5424074696969408</v>
      </c>
      <c r="M35" s="13">
        <f t="shared" si="18"/>
        <v>2.422928340002219</v>
      </c>
      <c r="S35" s="4">
        <f t="shared" si="16"/>
        <v>74.51956072105303</v>
      </c>
      <c r="T35" s="1" t="str">
        <f t="shared" si="19"/>
        <v>70x4</v>
      </c>
      <c r="U35" s="14"/>
      <c r="V35" s="5">
        <f t="shared" si="20"/>
        <v>7.8500000000000005</v>
      </c>
    </row>
    <row r="36" spans="2:22" ht="15.75" hidden="1">
      <c r="B36" s="1">
        <v>70</v>
      </c>
      <c r="C36" s="14">
        <v>5</v>
      </c>
      <c r="D36" s="12">
        <v>12.1</v>
      </c>
      <c r="E36" s="6">
        <v>82</v>
      </c>
      <c r="J36" s="7">
        <f>100*Lp/(SQRT(E36/D36))</f>
        <v>115.24099880198041</v>
      </c>
      <c r="K36" s="10">
        <f t="shared" si="15"/>
        <v>1.2907263244498604</v>
      </c>
      <c r="L36" s="11">
        <f t="shared" si="17"/>
        <v>1.5828833890081002</v>
      </c>
      <c r="M36" s="13">
        <f t="shared" si="18"/>
        <v>2.4991504781092653</v>
      </c>
      <c r="S36" s="4">
        <f t="shared" si="16"/>
        <v>87.41859449276043</v>
      </c>
      <c r="T36" s="1" t="str">
        <f t="shared" si="19"/>
        <v>70x5</v>
      </c>
      <c r="U36" s="14"/>
      <c r="V36" s="5">
        <f t="shared" si="20"/>
        <v>9.4985</v>
      </c>
    </row>
    <row r="37" spans="2:22" ht="15.75" hidden="1">
      <c r="B37" s="1">
        <v>70</v>
      </c>
      <c r="C37" s="14">
        <v>6</v>
      </c>
      <c r="D37" s="12">
        <v>14.12</v>
      </c>
      <c r="E37" s="6">
        <v>90.86</v>
      </c>
      <c r="J37" s="7">
        <f>100*Lp/(SQRT(E37/D37))</f>
        <v>118.26391093829268</v>
      </c>
      <c r="K37" s="10">
        <f t="shared" si="15"/>
        <v>1.324583652235969</v>
      </c>
      <c r="L37" s="11">
        <f t="shared" si="17"/>
        <v>1.6404392036510063</v>
      </c>
      <c r="M37" s="13">
        <f t="shared" si="18"/>
        <v>2.608178284759323</v>
      </c>
      <c r="S37" s="4">
        <f t="shared" si="16"/>
        <v>97.74808951297214</v>
      </c>
      <c r="T37" s="1" t="str">
        <f t="shared" si="19"/>
        <v>70x6</v>
      </c>
      <c r="U37" s="14"/>
      <c r="V37" s="5">
        <f t="shared" si="20"/>
        <v>11.0842</v>
      </c>
    </row>
    <row r="38" spans="2:22" ht="15.75" hidden="1">
      <c r="B38" s="1">
        <v>80</v>
      </c>
      <c r="C38" s="14">
        <v>3</v>
      </c>
      <c r="D38" s="12">
        <v>8.93</v>
      </c>
      <c r="E38" s="6">
        <v>86.6</v>
      </c>
      <c r="J38" s="7">
        <f>100*Lp/(SQRT(E38/D38))</f>
        <v>96.33587318280644</v>
      </c>
      <c r="K38" s="10">
        <f t="shared" si="15"/>
        <v>1.0789844655856524</v>
      </c>
      <c r="L38" s="11">
        <f t="shared" si="17"/>
        <v>1.2567348600338515</v>
      </c>
      <c r="M38" s="13">
        <f t="shared" si="18"/>
        <v>1.90107563280021</v>
      </c>
      <c r="S38" s="4">
        <f t="shared" si="16"/>
        <v>84.81309650664274</v>
      </c>
      <c r="T38" s="1" t="str">
        <f t="shared" si="19"/>
        <v>80x3</v>
      </c>
      <c r="U38" s="14"/>
      <c r="V38" s="5">
        <f t="shared" si="20"/>
        <v>7.01005</v>
      </c>
    </row>
    <row r="39" spans="2:22" ht="15.75" hidden="1">
      <c r="B39" s="1">
        <v>80</v>
      </c>
      <c r="C39" s="14">
        <v>4</v>
      </c>
      <c r="D39" s="12">
        <v>11.6</v>
      </c>
      <c r="E39" s="6">
        <v>108.8</v>
      </c>
      <c r="J39" s="7">
        <f>100*Lp/(SQRT(E39/D39))</f>
        <v>97.95707343165229</v>
      </c>
      <c r="K39" s="10">
        <f t="shared" si="15"/>
        <v>1.0971422901458647</v>
      </c>
      <c r="L39" s="11">
        <f t="shared" si="17"/>
        <v>1.2824187831372333</v>
      </c>
      <c r="M39" s="13">
        <f t="shared" si="18"/>
        <v>1.946404272825577</v>
      </c>
      <c r="S39" s="4">
        <f t="shared" si="16"/>
        <v>107.6058285365331</v>
      </c>
      <c r="T39" s="1" t="str">
        <f t="shared" si="19"/>
        <v>80x4</v>
      </c>
      <c r="U39" s="14"/>
      <c r="V39" s="5">
        <f t="shared" si="20"/>
        <v>9.106</v>
      </c>
    </row>
    <row r="40" spans="2:22" ht="15.75" hidden="1">
      <c r="B40" s="1">
        <v>80</v>
      </c>
      <c r="C40" s="14">
        <v>5</v>
      </c>
      <c r="D40" s="12">
        <v>14.1</v>
      </c>
      <c r="E40" s="6">
        <v>128</v>
      </c>
      <c r="J40" s="7">
        <f>100*Lp/(SQRT(E40/D40))</f>
        <v>99.56938535513815</v>
      </c>
      <c r="K40" s="10">
        <f t="shared" si="15"/>
        <v>1.1152005633689517</v>
      </c>
      <c r="L40" s="11">
        <f t="shared" si="17"/>
        <v>1.3083869927499778</v>
      </c>
      <c r="M40" s="13">
        <f t="shared" si="18"/>
        <v>1.992641496760659</v>
      </c>
      <c r="S40" s="4">
        <f t="shared" si="16"/>
        <v>127.76173423428006</v>
      </c>
      <c r="T40" s="1" t="str">
        <f t="shared" si="19"/>
        <v>80x5</v>
      </c>
      <c r="U40" s="14"/>
      <c r="V40" s="5">
        <f t="shared" si="20"/>
        <v>11.0685</v>
      </c>
    </row>
    <row r="41" spans="2:22" ht="15.75" hidden="1">
      <c r="B41" s="1">
        <v>80</v>
      </c>
      <c r="C41" s="14">
        <v>6</v>
      </c>
      <c r="D41" s="12">
        <v>16.5</v>
      </c>
      <c r="E41" s="6">
        <v>144</v>
      </c>
      <c r="J41" s="7">
        <f>100*Lp/(SQRT(E41/D41))</f>
        <v>101.5504800579495</v>
      </c>
      <c r="K41" s="10">
        <f t="shared" si="15"/>
        <v>1.1373892905643883</v>
      </c>
      <c r="L41" s="11">
        <f t="shared" si="17"/>
        <v>1.3408753588888658</v>
      </c>
      <c r="M41" s="13">
        <f t="shared" si="18"/>
        <v>2.0510107894827643</v>
      </c>
      <c r="S41" s="4">
        <f t="shared" si="16"/>
        <v>145.25358335233187</v>
      </c>
      <c r="T41" s="1" t="str">
        <f t="shared" si="19"/>
        <v>80x6</v>
      </c>
      <c r="U41" s="14"/>
      <c r="V41" s="5">
        <f t="shared" si="20"/>
        <v>12.9525</v>
      </c>
    </row>
    <row r="42" spans="2:22" ht="15.75" hidden="1">
      <c r="B42" s="1">
        <v>90</v>
      </c>
      <c r="C42" s="14">
        <v>3</v>
      </c>
      <c r="D42" s="12">
        <v>10.1</v>
      </c>
      <c r="E42" s="6">
        <v>126</v>
      </c>
      <c r="J42" s="7">
        <f>100*Lp/(SQRT(E42/D42))</f>
        <v>84.93695140682713</v>
      </c>
      <c r="K42" s="10">
        <f t="shared" si="15"/>
        <v>0.9513138573858525</v>
      </c>
      <c r="L42" s="11">
        <f t="shared" si="17"/>
        <v>1.0882487359153274</v>
      </c>
      <c r="M42" s="13">
        <f t="shared" si="18"/>
        <v>1.616725089186652</v>
      </c>
      <c r="S42" s="4">
        <f t="shared" si="16"/>
        <v>112.79661108176035</v>
      </c>
      <c r="T42" s="1" t="str">
        <f t="shared" si="19"/>
        <v>90x3</v>
      </c>
      <c r="U42" s="14"/>
      <c r="V42" s="5">
        <f t="shared" si="20"/>
        <v>7.9285</v>
      </c>
    </row>
    <row r="43" spans="2:22" ht="15.75" hidden="1">
      <c r="B43" s="1">
        <v>90</v>
      </c>
      <c r="C43" s="14">
        <v>4</v>
      </c>
      <c r="D43" s="12">
        <v>13.2</v>
      </c>
      <c r="E43" s="6">
        <v>159</v>
      </c>
      <c r="J43" s="7">
        <f>100*Lp/(SQRT(E43/D43))</f>
        <v>86.43898491541619</v>
      </c>
      <c r="K43" s="10">
        <f t="shared" si="15"/>
        <v>0.9681369863928562</v>
      </c>
      <c r="L43" s="11">
        <f t="shared" si="17"/>
        <v>1.109237995874197</v>
      </c>
      <c r="M43" s="13">
        <f t="shared" si="18"/>
        <v>1.6506433034480732</v>
      </c>
      <c r="S43" s="4">
        <f t="shared" si="16"/>
        <v>144.3881502657009</v>
      </c>
      <c r="T43" s="1" t="str">
        <f t="shared" si="19"/>
        <v>90x4</v>
      </c>
      <c r="U43" s="14"/>
      <c r="V43" s="5">
        <f t="shared" si="20"/>
        <v>10.362</v>
      </c>
    </row>
    <row r="44" spans="2:22" ht="15.75" hidden="1">
      <c r="B44" s="1">
        <v>90</v>
      </c>
      <c r="C44" s="14">
        <v>5</v>
      </c>
      <c r="D44" s="12">
        <v>16.1</v>
      </c>
      <c r="E44" s="6">
        <v>189</v>
      </c>
      <c r="J44" s="7">
        <f>100*Lp/(SQRT(E44/D44))</f>
        <v>87.55950357709132</v>
      </c>
      <c r="K44" s="10">
        <f t="shared" si="15"/>
        <v>0.9806870592722711</v>
      </c>
      <c r="L44" s="11">
        <f t="shared" si="17"/>
        <v>1.1251356203456617</v>
      </c>
      <c r="M44" s="13">
        <f t="shared" si="18"/>
        <v>1.6766635488737847</v>
      </c>
      <c r="S44" s="4">
        <f t="shared" si="16"/>
        <v>173.37673061462093</v>
      </c>
      <c r="T44" s="1" t="str">
        <f t="shared" si="19"/>
        <v>90x5</v>
      </c>
      <c r="U44" s="14"/>
      <c r="V44" s="5">
        <f t="shared" si="20"/>
        <v>12.638500000000002</v>
      </c>
    </row>
    <row r="45" spans="2:22" ht="15.75" hidden="1">
      <c r="B45" s="1">
        <v>90</v>
      </c>
      <c r="C45" s="14">
        <v>6</v>
      </c>
      <c r="D45" s="12">
        <v>18.9</v>
      </c>
      <c r="E45" s="6">
        <v>214</v>
      </c>
      <c r="J45" s="7">
        <f>100*Lp/(SQRT(E45/D45))</f>
        <v>89.154910862168</v>
      </c>
      <c r="K45" s="10">
        <f t="shared" si="15"/>
        <v>0.9985559965643364</v>
      </c>
      <c r="L45" s="11">
        <f t="shared" si="17"/>
        <v>1.1481241508784867</v>
      </c>
      <c r="M45" s="13">
        <f t="shared" si="18"/>
        <v>1.714758942923461</v>
      </c>
      <c r="S45" s="4">
        <f t="shared" si="16"/>
        <v>199.0075639542717</v>
      </c>
      <c r="T45" s="1" t="str">
        <f t="shared" si="19"/>
        <v>90x6</v>
      </c>
      <c r="U45" s="14"/>
      <c r="V45" s="5">
        <f t="shared" si="20"/>
        <v>14.8365</v>
      </c>
    </row>
    <row r="48" spans="2:22" ht="16.5" thickBot="1">
      <c r="B48" s="14" t="s">
        <v>27</v>
      </c>
      <c r="C48" s="69" t="s">
        <v>9</v>
      </c>
      <c r="D48" s="67" t="s">
        <v>8</v>
      </c>
      <c r="E48" s="67" t="s">
        <v>10</v>
      </c>
      <c r="F48" s="67" t="s">
        <v>11</v>
      </c>
      <c r="G48" s="67"/>
      <c r="H48" s="36"/>
      <c r="I48" s="70"/>
      <c r="J48" s="68" t="s">
        <v>15</v>
      </c>
      <c r="K48" s="42" t="s">
        <v>7</v>
      </c>
      <c r="L48" s="42"/>
      <c r="M48" s="68" t="s">
        <v>16</v>
      </c>
      <c r="N48" s="9"/>
      <c r="O48" s="2"/>
      <c r="P48" s="42"/>
      <c r="Q48" s="42"/>
      <c r="R48" s="2"/>
      <c r="S48" s="8" t="s">
        <v>20</v>
      </c>
      <c r="T48" s="3"/>
      <c r="U48" s="1"/>
      <c r="V48" s="66" t="s">
        <v>21</v>
      </c>
    </row>
    <row r="49" spans="2:22" ht="16.5" thickBot="1">
      <c r="B49" s="76">
        <v>240</v>
      </c>
      <c r="C49" s="53">
        <f>LOOKUP($B$49,$B50:$B68,C50:C68)</f>
        <v>240</v>
      </c>
      <c r="D49" s="54">
        <f>LOOKUP($B$49,$B50:$B68,D50:D68)</f>
        <v>106</v>
      </c>
      <c r="E49" s="53">
        <f>LOOKUP($B$49,$B50:$B68,E50:E68)</f>
        <v>11260</v>
      </c>
      <c r="F49" s="53">
        <f>LOOKUP($B$49,$B50:$B68,F50:F68)</f>
        <v>3920</v>
      </c>
      <c r="G49" s="65"/>
      <c r="H49" s="64"/>
      <c r="I49" s="65"/>
      <c r="J49" s="60">
        <f>LOOKUP($B$49,$B50:$B68,J50:J68)</f>
        <v>49.33227614237717</v>
      </c>
      <c r="K49" s="61">
        <f>LOOKUP($B$49,$B50:$B68,K50:K68)</f>
        <v>0.5525331099516796</v>
      </c>
      <c r="L49" s="62">
        <f>LOOKUP($B$49,$B50:$B68,L50:L68)</f>
        <v>0.6984403444353686</v>
      </c>
      <c r="M49" s="63">
        <f>LOOKUP($B$49,$B50:$B68,M50:M68)</f>
        <v>1.1256710515973438</v>
      </c>
      <c r="N49" s="9"/>
      <c r="O49" s="2"/>
      <c r="P49" s="36"/>
      <c r="Q49" s="36"/>
      <c r="R49" s="2"/>
      <c r="S49" s="72">
        <f>LOOKUP($B$49,$B50:$B68,S50:S68)</f>
        <v>1700.2204029081606</v>
      </c>
      <c r="T49" s="3"/>
      <c r="U49" s="1"/>
      <c r="V49" s="75">
        <f>LOOKUP($B$49,$B50:$B68,V50:V68)</f>
        <v>83.2</v>
      </c>
    </row>
    <row r="50" spans="2:22" ht="15.75" hidden="1">
      <c r="B50" s="1">
        <v>100</v>
      </c>
      <c r="C50" s="43">
        <v>100</v>
      </c>
      <c r="D50" s="44">
        <v>26</v>
      </c>
      <c r="E50" s="45">
        <v>450</v>
      </c>
      <c r="F50" s="46">
        <v>167</v>
      </c>
      <c r="J50" s="7">
        <f>100*Lp/(SQRT(F50/D50))</f>
        <v>118.37219288289033</v>
      </c>
      <c r="K50" s="10">
        <f aca="true" t="shared" si="21" ref="K50:K68">J50/(PI()*SQRT(E/fe))</f>
        <v>1.325796435514557</v>
      </c>
      <c r="L50" s="11">
        <f aca="true" t="shared" si="22" ref="L50:L68">0.5+0.65*K50*K50</f>
        <v>1.6425285224750183</v>
      </c>
      <c r="M50" s="13">
        <f aca="true" t="shared" si="23" ref="M50:M68">L50+SQRT((L50*L50)-K50*K50)</f>
        <v>2.612148942392453</v>
      </c>
      <c r="S50" s="47">
        <f>D50*fe/(M50*1.44)</f>
        <v>179.71580288774913</v>
      </c>
      <c r="V50" s="48">
        <v>20.4</v>
      </c>
    </row>
    <row r="51" spans="2:22" ht="15.75" hidden="1">
      <c r="B51" s="1">
        <v>120</v>
      </c>
      <c r="C51" s="49">
        <v>120</v>
      </c>
      <c r="D51" s="44">
        <v>34</v>
      </c>
      <c r="E51" s="46">
        <v>864</v>
      </c>
      <c r="F51" s="46">
        <v>318</v>
      </c>
      <c r="J51" s="7">
        <f>100*Lp/(SQRT(F51/D51))</f>
        <v>98.09506363438459</v>
      </c>
      <c r="K51" s="10">
        <f t="shared" si="21"/>
        <v>1.0986878129114976</v>
      </c>
      <c r="L51" s="11">
        <f t="shared" si="22"/>
        <v>1.2846246916561626</v>
      </c>
      <c r="M51" s="13">
        <f t="shared" si="23"/>
        <v>1.9503165784720082</v>
      </c>
      <c r="S51" s="47">
        <f>D51*fe/(M51*1.44)</f>
        <v>314.76371357610327</v>
      </c>
      <c r="V51" s="48">
        <v>26.7</v>
      </c>
    </row>
    <row r="52" spans="2:22" ht="15.75" hidden="1">
      <c r="B52" s="1">
        <v>140</v>
      </c>
      <c r="C52" s="49">
        <v>140</v>
      </c>
      <c r="D52" s="44">
        <v>43</v>
      </c>
      <c r="E52" s="46">
        <v>1510</v>
      </c>
      <c r="F52" s="46">
        <v>550</v>
      </c>
      <c r="J52" s="7">
        <f>100*Lp/(SQRT(F52/D52))</f>
        <v>83.88303545034381</v>
      </c>
      <c r="K52" s="10">
        <f t="shared" si="21"/>
        <v>0.939509750488721</v>
      </c>
      <c r="L52" s="11">
        <f t="shared" si="22"/>
        <v>1.0737410713211961</v>
      </c>
      <c r="M52" s="13">
        <f t="shared" si="23"/>
        <v>1.5935884691011708</v>
      </c>
      <c r="S52" s="47">
        <f>D52*fe/(M52*1.44)</f>
        <v>487.19534807301557</v>
      </c>
      <c r="V52" s="48">
        <v>33.7</v>
      </c>
    </row>
    <row r="53" spans="2:22" ht="15.75" hidden="1">
      <c r="B53" s="1">
        <v>160</v>
      </c>
      <c r="C53" s="49">
        <v>160</v>
      </c>
      <c r="D53" s="44">
        <v>54.3</v>
      </c>
      <c r="E53" s="46">
        <v>2490</v>
      </c>
      <c r="F53" s="46">
        <v>889</v>
      </c>
      <c r="J53" s="7">
        <f>100*Lp/(SQRT(F53/D53))</f>
        <v>74.1430229456458</v>
      </c>
      <c r="K53" s="10">
        <f t="shared" si="21"/>
        <v>0.8304193167804312</v>
      </c>
      <c r="L53" s="11">
        <f t="shared" si="22"/>
        <v>0.9482375570933509</v>
      </c>
      <c r="M53" s="13">
        <f t="shared" si="23"/>
        <v>1.4060128545923396</v>
      </c>
      <c r="S53" s="47">
        <f>D53*fe/(M53*1.44)</f>
        <v>697.3027760481816</v>
      </c>
      <c r="V53" s="48">
        <v>42.6</v>
      </c>
    </row>
    <row r="54" spans="2:22" ht="15.75" hidden="1">
      <c r="B54" s="1">
        <v>180</v>
      </c>
      <c r="C54" s="49">
        <v>180</v>
      </c>
      <c r="D54" s="44">
        <v>65.3</v>
      </c>
      <c r="E54" s="46">
        <v>3830</v>
      </c>
      <c r="F54" s="46">
        <v>1360</v>
      </c>
      <c r="J54" s="7">
        <f>100*Lp/(SQRT(F54/D54))</f>
        <v>65.73677455893136</v>
      </c>
      <c r="K54" s="10">
        <f t="shared" si="21"/>
        <v>0.7362673552789484</v>
      </c>
      <c r="L54" s="11">
        <f t="shared" si="22"/>
        <v>0.8523582519921472</v>
      </c>
      <c r="M54" s="13">
        <f t="shared" si="23"/>
        <v>1.2818055378022353</v>
      </c>
      <c r="S54" s="47">
        <f>D54*fe/(M54*1.44)</f>
        <v>919.8179778496833</v>
      </c>
      <c r="V54" s="48">
        <v>51.2</v>
      </c>
    </row>
    <row r="55" spans="2:22" ht="15.75" hidden="1">
      <c r="B55" s="1">
        <v>200</v>
      </c>
      <c r="C55" s="49">
        <v>200</v>
      </c>
      <c r="D55" s="44">
        <v>78.1</v>
      </c>
      <c r="E55" s="46">
        <v>5700</v>
      </c>
      <c r="F55" s="46">
        <v>2000</v>
      </c>
      <c r="J55" s="7">
        <f>100*Lp/(SQRT(F55/D55))</f>
        <v>59.28321853610851</v>
      </c>
      <c r="K55" s="10">
        <f t="shared" si="21"/>
        <v>0.6639860080885919</v>
      </c>
      <c r="L55" s="11">
        <f t="shared" si="22"/>
        <v>0.7865703223093254</v>
      </c>
      <c r="M55" s="13">
        <f t="shared" si="23"/>
        <v>1.2082520186163532</v>
      </c>
      <c r="S55" s="47">
        <f>D55*fe/(M55*1.44)</f>
        <v>1167.090033504541</v>
      </c>
      <c r="V55" s="48">
        <v>61.3</v>
      </c>
    </row>
    <row r="56" spans="2:22" ht="15.75" hidden="1">
      <c r="B56" s="1">
        <v>220</v>
      </c>
      <c r="C56" s="49">
        <v>220</v>
      </c>
      <c r="D56" s="44">
        <v>91</v>
      </c>
      <c r="E56" s="46">
        <v>8090</v>
      </c>
      <c r="F56" s="46">
        <v>2840</v>
      </c>
      <c r="J56" s="7">
        <f>100*Lp/(SQRT(F56/D56))</f>
        <v>53.7010504264247</v>
      </c>
      <c r="K56" s="10">
        <f t="shared" si="21"/>
        <v>0.6014644107267545</v>
      </c>
      <c r="L56" s="11">
        <f t="shared" si="22"/>
        <v>0.7351436342910733</v>
      </c>
      <c r="M56" s="13">
        <f t="shared" si="23"/>
        <v>1.1578453324989293</v>
      </c>
      <c r="S56" s="47">
        <f>D56*fe/(M56*1.44)</f>
        <v>1419.0630729662462</v>
      </c>
      <c r="V56" s="48">
        <v>71.5</v>
      </c>
    </row>
    <row r="57" spans="2:22" ht="15.75" hidden="1">
      <c r="B57" s="1">
        <v>240</v>
      </c>
      <c r="C57" s="49">
        <v>240</v>
      </c>
      <c r="D57" s="44">
        <v>106</v>
      </c>
      <c r="E57" s="46">
        <v>11260</v>
      </c>
      <c r="F57" s="46">
        <v>3920</v>
      </c>
      <c r="J57" s="7">
        <f>100*Lp/(SQRT(F57/D57))</f>
        <v>49.33227614237717</v>
      </c>
      <c r="K57" s="10">
        <f t="shared" si="21"/>
        <v>0.5525331099516796</v>
      </c>
      <c r="L57" s="11">
        <f t="shared" si="22"/>
        <v>0.6984403444353686</v>
      </c>
      <c r="M57" s="13">
        <f t="shared" si="23"/>
        <v>1.1256710515973438</v>
      </c>
      <c r="S57" s="47">
        <f>D57*fe/(M57*1.44)</f>
        <v>1700.2204029081606</v>
      </c>
      <c r="V57" s="48">
        <v>83.2</v>
      </c>
    </row>
    <row r="58" spans="2:22" ht="15.75" hidden="1">
      <c r="B58" s="1">
        <v>260</v>
      </c>
      <c r="C58" s="49">
        <v>260</v>
      </c>
      <c r="D58" s="44">
        <v>118</v>
      </c>
      <c r="E58" s="46">
        <v>14920</v>
      </c>
      <c r="F58" s="46">
        <v>5130</v>
      </c>
      <c r="J58" s="7">
        <f>100*Lp/(SQRT(F58/D58))</f>
        <v>45.49918063653994</v>
      </c>
      <c r="K58" s="10">
        <f t="shared" si="21"/>
        <v>0.5096015376384627</v>
      </c>
      <c r="L58" s="11">
        <f t="shared" si="22"/>
        <v>0.6688009226562657</v>
      </c>
      <c r="M58" s="13">
        <f t="shared" si="23"/>
        <v>1.101930172398634</v>
      </c>
      <c r="S58" s="47">
        <f>D58*fe/(M58*1.44)</f>
        <v>1933.476012293823</v>
      </c>
      <c r="V58" s="48">
        <v>93</v>
      </c>
    </row>
    <row r="59" spans="2:22" ht="15.75" hidden="1">
      <c r="B59" s="1">
        <v>280</v>
      </c>
      <c r="C59" s="49">
        <v>280</v>
      </c>
      <c r="D59" s="44">
        <v>131</v>
      </c>
      <c r="E59" s="46">
        <v>19270</v>
      </c>
      <c r="F59" s="46">
        <v>6590</v>
      </c>
      <c r="J59" s="7">
        <f>100*Lp/(SQRT(F59/D59))</f>
        <v>42.29745092890894</v>
      </c>
      <c r="K59" s="10">
        <f t="shared" si="21"/>
        <v>0.4737414109441992</v>
      </c>
      <c r="L59" s="11">
        <f t="shared" si="22"/>
        <v>0.6458801008882105</v>
      </c>
      <c r="M59" s="13">
        <f t="shared" si="23"/>
        <v>1.0848905566634282</v>
      </c>
      <c r="S59" s="47">
        <f>D59*fe/(M59*1.44)</f>
        <v>2180.1994341734985</v>
      </c>
      <c r="V59" s="48">
        <v>103</v>
      </c>
    </row>
    <row r="60" spans="2:22" ht="15.75" hidden="1">
      <c r="B60" s="1">
        <v>300</v>
      </c>
      <c r="C60" s="49">
        <v>300</v>
      </c>
      <c r="D60" s="44">
        <v>149</v>
      </c>
      <c r="E60" s="46">
        <v>25170</v>
      </c>
      <c r="F60" s="46">
        <v>8560</v>
      </c>
      <c r="J60" s="7">
        <f>100*Lp/(SQRT(F60/D60))</f>
        <v>39.58015645556153</v>
      </c>
      <c r="K60" s="10">
        <f t="shared" si="21"/>
        <v>0.4433070729525768</v>
      </c>
      <c r="L60" s="11">
        <f t="shared" si="22"/>
        <v>0.6277387546043578</v>
      </c>
      <c r="M60" s="13">
        <f t="shared" si="23"/>
        <v>1.0721876077949684</v>
      </c>
      <c r="S60" s="47">
        <f>D60*fe/(M60*1.44)</f>
        <v>2509.1483600622187</v>
      </c>
      <c r="V60" s="48">
        <v>117</v>
      </c>
    </row>
    <row r="61" spans="2:22" ht="15.75" hidden="1">
      <c r="B61" s="1">
        <v>320</v>
      </c>
      <c r="C61" s="49">
        <v>300</v>
      </c>
      <c r="D61" s="44">
        <v>161</v>
      </c>
      <c r="E61" s="46">
        <v>30820</v>
      </c>
      <c r="F61" s="46">
        <v>9240</v>
      </c>
      <c r="J61" s="7">
        <f>100*Lp/(SQRT(F61/D61))</f>
        <v>39.60027548113546</v>
      </c>
      <c r="K61" s="10">
        <f t="shared" si="21"/>
        <v>0.4435324107767932</v>
      </c>
      <c r="L61" s="11">
        <f t="shared" si="22"/>
        <v>0.6278686496161581</v>
      </c>
      <c r="M61" s="13">
        <f t="shared" si="23"/>
        <v>1.0722761672858572</v>
      </c>
      <c r="S61" s="47">
        <f>D61*fe/(M61*1.44)</f>
        <v>2711.0035018333897</v>
      </c>
      <c r="V61" s="48">
        <v>127</v>
      </c>
    </row>
    <row r="62" spans="2:22" ht="15.75" hidden="1">
      <c r="B62" s="1">
        <v>340</v>
      </c>
      <c r="C62" s="49">
        <v>300</v>
      </c>
      <c r="D62" s="44">
        <v>171</v>
      </c>
      <c r="E62" s="46">
        <v>36660</v>
      </c>
      <c r="F62" s="46">
        <v>9690</v>
      </c>
      <c r="J62" s="7">
        <f>100*Lp/(SQRT(F62/D62))</f>
        <v>39.85266984930429</v>
      </c>
      <c r="K62" s="10">
        <f t="shared" si="21"/>
        <v>0.44635928713611883</v>
      </c>
      <c r="L62" s="11">
        <f t="shared" si="22"/>
        <v>0.6295037985882317</v>
      </c>
      <c r="M62" s="13">
        <f t="shared" si="23"/>
        <v>1.0733938967255394</v>
      </c>
      <c r="S62" s="47">
        <f>D62*fe/(M62*1.44)</f>
        <v>2876.390493199772</v>
      </c>
      <c r="V62" s="48">
        <v>134</v>
      </c>
    </row>
    <row r="63" spans="2:22" ht="15.75" hidden="1">
      <c r="B63" s="1">
        <v>360</v>
      </c>
      <c r="C63" s="49">
        <v>300</v>
      </c>
      <c r="D63" s="44">
        <v>181</v>
      </c>
      <c r="E63" s="46">
        <v>43190</v>
      </c>
      <c r="F63" s="46">
        <v>10140</v>
      </c>
      <c r="J63" s="7">
        <f>100*Lp/(SQRT(F63/D63))</f>
        <v>40.08127836957854</v>
      </c>
      <c r="K63" s="10">
        <f t="shared" si="21"/>
        <v>0.44891975639774445</v>
      </c>
      <c r="L63" s="11">
        <f t="shared" si="22"/>
        <v>0.6309938159947366</v>
      </c>
      <c r="M63" s="13">
        <f t="shared" si="23"/>
        <v>1.074417144360971</v>
      </c>
      <c r="S63" s="47">
        <f>D63*fe/(M63*1.44)</f>
        <v>3041.700863307883</v>
      </c>
      <c r="V63" s="48">
        <v>142</v>
      </c>
    </row>
    <row r="64" spans="2:22" ht="15.75" hidden="1">
      <c r="B64" s="1">
        <v>400</v>
      </c>
      <c r="C64" s="49">
        <v>300</v>
      </c>
      <c r="D64" s="44">
        <v>198</v>
      </c>
      <c r="E64" s="46">
        <v>57680</v>
      </c>
      <c r="F64" s="46">
        <v>10820</v>
      </c>
      <c r="J64" s="7">
        <f>100*Lp/(SQRT(F64/D64))</f>
        <v>40.582632891687076</v>
      </c>
      <c r="K64" s="10">
        <f t="shared" si="21"/>
        <v>0.45453504510831355</v>
      </c>
      <c r="L64" s="11">
        <f t="shared" si="22"/>
        <v>0.6342913697005508</v>
      </c>
      <c r="M64" s="13">
        <f t="shared" si="23"/>
        <v>1.076697782905631</v>
      </c>
      <c r="S64" s="47">
        <f>D64*fe/(M64*1.44)</f>
        <v>3320.3374770145106</v>
      </c>
      <c r="V64" s="48">
        <v>155</v>
      </c>
    </row>
    <row r="65" spans="2:22" ht="15.75" hidden="1">
      <c r="B65" s="1">
        <v>450</v>
      </c>
      <c r="C65" s="49">
        <v>300</v>
      </c>
      <c r="D65" s="44">
        <v>218</v>
      </c>
      <c r="E65" s="46">
        <v>79890</v>
      </c>
      <c r="F65" s="46">
        <v>11720</v>
      </c>
      <c r="J65" s="7">
        <f>100*Lp/(SQRT(F65/D65))</f>
        <v>40.91529583721837</v>
      </c>
      <c r="K65" s="10">
        <f t="shared" si="21"/>
        <v>0.4582609484363824</v>
      </c>
      <c r="L65" s="11">
        <f t="shared" si="22"/>
        <v>0.6365020129601783</v>
      </c>
      <c r="M65" s="13">
        <f t="shared" si="23"/>
        <v>1.078239169695432</v>
      </c>
      <c r="S65" s="47">
        <f>D65*fe/(M65*1.44)</f>
        <v>3650.4990930935446</v>
      </c>
      <c r="V65" s="48">
        <v>171</v>
      </c>
    </row>
    <row r="66" spans="2:22" ht="15.75" hidden="1">
      <c r="B66" s="1">
        <v>500</v>
      </c>
      <c r="C66" s="49">
        <v>300</v>
      </c>
      <c r="D66" s="44">
        <v>239</v>
      </c>
      <c r="E66" s="46">
        <v>107200</v>
      </c>
      <c r="F66" s="46">
        <v>12620</v>
      </c>
      <c r="J66" s="7">
        <f>100*Lp/(SQRT(F66/D66))</f>
        <v>41.28483257748385</v>
      </c>
      <c r="K66" s="10">
        <f t="shared" si="21"/>
        <v>0.46239984694880865</v>
      </c>
      <c r="L66" s="11">
        <f t="shared" si="22"/>
        <v>0.6389788519978831</v>
      </c>
      <c r="M66" s="13">
        <f t="shared" si="23"/>
        <v>1.0799781205259056</v>
      </c>
      <c r="S66" s="47">
        <f>D66*fe/(M66*1.44)</f>
        <v>3995.708520165587</v>
      </c>
      <c r="V66" s="48">
        <v>187</v>
      </c>
    </row>
    <row r="67" spans="2:22" ht="15.75" hidden="1">
      <c r="B67" s="1">
        <v>550</v>
      </c>
      <c r="C67" s="49">
        <v>300</v>
      </c>
      <c r="D67" s="44">
        <v>254</v>
      </c>
      <c r="E67" s="46">
        <v>136700</v>
      </c>
      <c r="F67" s="46">
        <v>13080</v>
      </c>
      <c r="J67" s="7">
        <f>100*Lp/(SQRT(F67/D67))</f>
        <v>41.805578838455865</v>
      </c>
      <c r="K67" s="10">
        <f t="shared" si="21"/>
        <v>0.4682323277011698</v>
      </c>
      <c r="L67" s="11">
        <f t="shared" si="22"/>
        <v>0.6425069832578962</v>
      </c>
      <c r="M67" s="13">
        <f t="shared" si="23"/>
        <v>1.0824771081876543</v>
      </c>
      <c r="S67" s="47">
        <f>D67*fe/(M67*1.44)</f>
        <v>4236.681844283473</v>
      </c>
      <c r="V67" s="48">
        <v>199</v>
      </c>
    </row>
    <row r="68" spans="2:22" ht="15.75" hidden="1">
      <c r="B68" s="1">
        <v>600</v>
      </c>
      <c r="C68" s="50">
        <v>300</v>
      </c>
      <c r="D68" s="44">
        <v>270</v>
      </c>
      <c r="E68" s="51">
        <v>171000</v>
      </c>
      <c r="F68" s="51">
        <v>13530</v>
      </c>
      <c r="J68" s="7">
        <f>100*Lp/(SQRT(F68/D68))</f>
        <v>42.379344841321</v>
      </c>
      <c r="K68" s="10">
        <f t="shared" si="21"/>
        <v>0.47465864204824465</v>
      </c>
      <c r="L68" s="11">
        <f t="shared" si="22"/>
        <v>0.6464455372062043</v>
      </c>
      <c r="M68" s="13">
        <f t="shared" si="23"/>
        <v>1.085297455400411</v>
      </c>
      <c r="S68" s="47">
        <f>D68*fe/(M68*1.44)</f>
        <v>4491.856104280105</v>
      </c>
      <c r="V68" s="52">
        <v>212</v>
      </c>
    </row>
  </sheetData>
  <sheetProtection password="DEAD" sheet="1" objects="1" scenarios="1" selectLockedCells="1"/>
  <mergeCells count="6">
    <mergeCell ref="K48:L48"/>
    <mergeCell ref="P48:Q48"/>
    <mergeCell ref="K8:L8"/>
    <mergeCell ref="P8:Q8"/>
    <mergeCell ref="V8:W8"/>
    <mergeCell ref="V24:W24"/>
  </mergeCells>
  <dataValidations count="3">
    <dataValidation type="list" allowBlank="1" showInputMessage="1" showErrorMessage="1" sqref="B9">
      <formula1>$B$10:$B$21</formula1>
    </dataValidation>
    <dataValidation type="list" showInputMessage="1" showErrorMessage="1" sqref="B25">
      <formula1>$T$26:$T$45</formula1>
    </dataValidation>
    <dataValidation type="list" allowBlank="1" showInputMessage="1" showErrorMessage="1" sqref="B49">
      <formula1>$B$50:$B$68</formula1>
    </dataValidation>
  </dataValidations>
  <hyperlinks>
    <hyperlink ref="T2" r:id="rId1" display="fjurado@aq.upm.es"/>
  </hyperlinks>
  <printOptions/>
  <pageMargins left="0.75" right="0.75" top="1" bottom="1" header="0" footer="0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Oficina de Arquitectura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Jurado</dc:creator>
  <cp:keywords/>
  <dc:description/>
  <cp:lastModifiedBy>FRANCISCO JURADO</cp:lastModifiedBy>
  <dcterms:created xsi:type="dcterms:W3CDTF">2001-11-18T23:01:11Z</dcterms:created>
  <dcterms:modified xsi:type="dcterms:W3CDTF">2004-10-29T02:16:00Z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