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VIGAS" sheetId="1" r:id="rId1"/>
    <sheet name="precios" sheetId="2" r:id="rId2"/>
  </sheets>
  <definedNames>
    <definedName name="avo">'VIGAS'!$C$8</definedName>
    <definedName name="E">'VIGAS'!$I$5</definedName>
    <definedName name="f">'VIGAS'!$I$4</definedName>
    <definedName name="Luz">'VIGAS'!$C$7</definedName>
    <definedName name="prop">'VIGAS'!$F$25</definedName>
    <definedName name="q">'VIGAS'!$C$4</definedName>
    <definedName name="s">'VIGAS'!$C$6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<sst xmlns="http://schemas.openxmlformats.org/spreadsheetml/2006/main" count="103" uniqueCount="68">
  <si>
    <t>kN/m²</t>
  </si>
  <si>
    <r>
      <t xml:space="preserve">separación   </t>
    </r>
    <r>
      <rPr>
        <b/>
        <sz val="10"/>
        <rFont val="Helv"/>
        <family val="0"/>
      </rPr>
      <t>s =</t>
    </r>
  </si>
  <si>
    <t>m</t>
  </si>
  <si>
    <r>
      <t xml:space="preserve">luz      </t>
    </r>
    <r>
      <rPr>
        <b/>
        <sz val="10"/>
        <rFont val="Helv"/>
        <family val="0"/>
      </rPr>
      <t>L =</t>
    </r>
  </si>
  <si>
    <r>
      <t xml:space="preserve">deformac máx.     </t>
    </r>
    <r>
      <rPr>
        <b/>
        <sz val="10"/>
        <rFont val="Helv"/>
        <family val="0"/>
      </rPr>
      <t>1/</t>
    </r>
  </si>
  <si>
    <t>kN/cm²</t>
  </si>
  <si>
    <t>APOYADA</t>
  </si>
  <si>
    <t>W &gt;</t>
  </si>
  <si>
    <t>cm³</t>
  </si>
  <si>
    <t>B &gt;</t>
  </si>
  <si>
    <t>cm²</t>
  </si>
  <si>
    <t>I  &gt;</t>
  </si>
  <si>
    <t>por mto.</t>
  </si>
  <si>
    <t>por cort.</t>
  </si>
  <si>
    <t>por def.</t>
  </si>
  <si>
    <t>IPE</t>
  </si>
  <si>
    <t>HEB</t>
  </si>
  <si>
    <t>peso (kg/m)</t>
  </si>
  <si>
    <t>2UPN</t>
  </si>
  <si>
    <t>EXTREMO</t>
  </si>
  <si>
    <t>INTERIOR</t>
  </si>
  <si>
    <t>VOLADIZO</t>
  </si>
  <si>
    <t>x</t>
  </si>
  <si>
    <t>PLETINA</t>
  </si>
  <si>
    <t>cm</t>
  </si>
  <si>
    <t>CORDON TRAC.</t>
  </si>
  <si>
    <t>CORDON COMPR.</t>
  </si>
  <si>
    <t>DIAGONAL</t>
  </si>
  <si>
    <t>mm</t>
  </si>
  <si>
    <r>
      <t>cm</t>
    </r>
    <r>
      <rPr>
        <vertAlign val="superscript"/>
        <sz val="8"/>
        <rFont val="Arial"/>
        <family val="2"/>
      </rPr>
      <t>4</t>
    </r>
  </si>
  <si>
    <t>RESISTENCIA(KN/cm2)</t>
  </si>
  <si>
    <t>PRECIO</t>
  </si>
  <si>
    <t>euros/kg</t>
  </si>
  <si>
    <t>acero corrugado</t>
  </si>
  <si>
    <t>hormigon</t>
  </si>
  <si>
    <t>euros/m3</t>
  </si>
  <si>
    <t>encofrado</t>
  </si>
  <si>
    <t>euros/m2</t>
  </si>
  <si>
    <t>madera</t>
  </si>
  <si>
    <t>DISEÑO DE VIGAS</t>
  </si>
  <si>
    <r>
      <t xml:space="preserve">tens. segura madera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</si>
  <si>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Helv"/>
        <family val="0"/>
      </rPr>
      <t>m</t>
    </r>
    <r>
      <rPr>
        <b/>
        <sz val="10"/>
        <rFont val="Helv"/>
        <family val="0"/>
      </rPr>
      <t xml:space="preserve"> =</t>
    </r>
  </si>
  <si>
    <r>
      <t>E</t>
    </r>
    <r>
      <rPr>
        <vertAlign val="subscript"/>
        <sz val="10"/>
        <rFont val="Helv"/>
        <family val="0"/>
      </rPr>
      <t>s</t>
    </r>
    <r>
      <rPr>
        <b/>
        <sz val="10"/>
        <rFont val="Helv"/>
        <family val="0"/>
      </rPr>
      <t xml:space="preserve"> =</t>
    </r>
  </si>
  <si>
    <r>
      <t xml:space="preserve">tens. segura acero lam   </t>
    </r>
    <r>
      <rPr>
        <b/>
        <sz val="10"/>
        <rFont val="Helv"/>
        <family val="0"/>
      </rPr>
      <t>f</t>
    </r>
    <r>
      <rPr>
        <vertAlign val="subscript"/>
        <sz val="10"/>
        <rFont val="Helv"/>
        <family val="0"/>
      </rPr>
      <t>s</t>
    </r>
    <r>
      <rPr>
        <b/>
        <sz val="10"/>
        <rFont val="Helv"/>
        <family val="0"/>
      </rPr>
      <t xml:space="preserve"> =</t>
    </r>
  </si>
  <si>
    <t>MADERA  h/b =</t>
  </si>
  <si>
    <t>H.A. CANTO</t>
  </si>
  <si>
    <t>H.A. PLANA</t>
  </si>
  <si>
    <t>acero long.</t>
  </si>
  <si>
    <t>estribos</t>
  </si>
  <si>
    <t>CELOSÍA MET.    h =</t>
  </si>
  <si>
    <t>CELOSIA H/10</t>
  </si>
  <si>
    <t>CELOSIA H/15</t>
  </si>
  <si>
    <t xml:space="preserve">este programa se difunde gratuitamente, se agradecen comentarios o mejoras a </t>
  </si>
  <si>
    <t>MADERA   (X 0,30)</t>
  </si>
  <si>
    <t>acero laminado</t>
  </si>
  <si>
    <t>acero celosías</t>
  </si>
  <si>
    <t>ladrillo</t>
  </si>
  <si>
    <t>encofrado plano</t>
  </si>
  <si>
    <t>encofrado canto</t>
  </si>
  <si>
    <t>francisco.jurado@upm.es</t>
  </si>
  <si>
    <r>
      <t xml:space="preserve">tubos cuadrados lado: </t>
    </r>
    <r>
      <rPr>
        <b/>
        <u val="single"/>
        <sz val="8"/>
        <rFont val="Arial"/>
        <family val="2"/>
      </rPr>
      <t>a</t>
    </r>
    <r>
      <rPr>
        <sz val="8"/>
        <rFont val="Arial"/>
        <family val="2"/>
      </rPr>
      <t xml:space="preserve">   espesor: </t>
    </r>
    <r>
      <rPr>
        <b/>
        <u val="single"/>
        <sz val="8"/>
        <rFont val="Arial"/>
        <family val="2"/>
      </rPr>
      <t>a/20</t>
    </r>
  </si>
  <si>
    <r>
      <t xml:space="preserve">sección  </t>
    </r>
    <r>
      <rPr>
        <b/>
        <sz val="10"/>
        <rFont val="Arial"/>
        <family val="2"/>
      </rPr>
      <t>A = 0,2a</t>
    </r>
    <r>
      <rPr>
        <b/>
        <vertAlign val="superscript"/>
        <sz val="10"/>
        <rFont val="Arial"/>
        <family val="2"/>
      </rPr>
      <t>2</t>
    </r>
  </si>
  <si>
    <r>
      <t xml:space="preserve">inercia  </t>
    </r>
    <r>
      <rPr>
        <b/>
        <sz val="10"/>
        <rFont val="Arial"/>
        <family val="2"/>
      </rPr>
      <t>I = 0,1a</t>
    </r>
    <r>
      <rPr>
        <b/>
        <vertAlign val="superscript"/>
        <sz val="10"/>
        <rFont val="Arial"/>
        <family val="2"/>
      </rPr>
      <t>4</t>
    </r>
  </si>
  <si>
    <r>
      <t xml:space="preserve">módulo resitente </t>
    </r>
    <r>
      <rPr>
        <b/>
        <sz val="10"/>
        <rFont val="Arial"/>
        <family val="2"/>
      </rPr>
      <t>W = 0,2a</t>
    </r>
    <r>
      <rPr>
        <b/>
        <vertAlign val="superscript"/>
        <sz val="10"/>
        <rFont val="Arial"/>
        <family val="2"/>
      </rPr>
      <t>3</t>
    </r>
  </si>
  <si>
    <r>
      <t xml:space="preserve">sec. Equivalente a cortante </t>
    </r>
    <r>
      <rPr>
        <b/>
        <sz val="10"/>
        <rFont val="Arial"/>
        <family val="2"/>
      </rPr>
      <t>B = 0,1a</t>
    </r>
    <r>
      <rPr>
        <b/>
        <vertAlign val="superscript"/>
        <sz val="10"/>
        <rFont val="Arial"/>
        <family val="2"/>
      </rPr>
      <t>2</t>
    </r>
  </si>
  <si>
    <t>(hay que tener en cuenta el peso propio al introducir la carga)</t>
  </si>
  <si>
    <r>
      <t xml:space="preserve">carga superfic total  </t>
    </r>
    <r>
      <rPr>
        <b/>
        <sz val="10"/>
        <rFont val="Helv"/>
        <family val="0"/>
      </rPr>
      <t>q =</t>
    </r>
  </si>
  <si>
    <t xml:space="preserve">pulse opción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</si>
</sst>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000"/>
    <numFmt numFmtId="167" formatCode="0.0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\ &quot;€&quot;"/>
    <numFmt numFmtId="174" formatCode="#,##0.0\ &quot;€&quot;"/>
    <numFmt numFmtId="175" formatCode="#.##000\ &quot;€&quot;"/>
  </numFmts>
  <fonts count="60">
    <font>
      <sz val="10"/>
      <name val="Arial"/>
      <family val="0"/>
    </font>
    <font>
      <b/>
      <sz val="10"/>
      <name val="Helv"/>
      <family val="0"/>
    </font>
    <font>
      <sz val="12"/>
      <name val="Helv"/>
      <family val="0"/>
    </font>
    <font>
      <sz val="8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vertAlign val="superscript"/>
      <sz val="8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Helv"/>
      <family val="0"/>
    </font>
    <font>
      <b/>
      <sz val="12"/>
      <name val="Arial"/>
      <family val="2"/>
    </font>
    <font>
      <b/>
      <sz val="20"/>
      <color indexed="48"/>
      <name val="BankGothic Md BT"/>
      <family val="2"/>
    </font>
    <font>
      <sz val="8"/>
      <color indexed="9"/>
      <name val="Helv"/>
      <family val="0"/>
    </font>
    <font>
      <sz val="7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Helv"/>
      <family val="0"/>
    </font>
    <font>
      <b/>
      <u val="single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.25"/>
      <color indexed="8"/>
      <name val="Arial"/>
      <family val="0"/>
    </font>
    <font>
      <sz val="6.75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66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3" fontId="2" fillId="0" borderId="1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4" fontId="1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right"/>
    </xf>
    <xf numFmtId="1" fontId="4" fillId="0" borderId="14" xfId="0" applyNumberFormat="1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14" xfId="0" applyFont="1" applyBorder="1" applyAlignment="1">
      <alignment horizontal="right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Border="1" applyAlignment="1">
      <alignment/>
    </xf>
    <xf numFmtId="0" fontId="15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36" borderId="10" xfId="0" applyFont="1" applyFill="1" applyBorder="1" applyAlignment="1" applyProtection="1">
      <alignment/>
      <protection locked="0"/>
    </xf>
    <xf numFmtId="164" fontId="2" fillId="36" borderId="10" xfId="0" applyNumberFormat="1" applyFont="1" applyFill="1" applyBorder="1" applyAlignment="1" applyProtection="1">
      <alignment/>
      <protection locked="0"/>
    </xf>
    <xf numFmtId="1" fontId="4" fillId="33" borderId="14" xfId="0" applyNumberFormat="1" applyFont="1" applyFill="1" applyBorder="1" applyAlignment="1" applyProtection="1">
      <alignment horizontal="left"/>
      <protection locked="0"/>
    </xf>
    <xf numFmtId="1" fontId="4" fillId="33" borderId="14" xfId="0" applyNumberFormat="1" applyFont="1" applyFill="1" applyBorder="1" applyAlignment="1" applyProtection="1">
      <alignment horizontal="center"/>
      <protection locked="0"/>
    </xf>
    <xf numFmtId="1" fontId="4" fillId="33" borderId="15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right"/>
      <protection/>
    </xf>
    <xf numFmtId="174" fontId="3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17" fillId="0" borderId="0" xfId="45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 vertical="center"/>
    </xf>
    <xf numFmtId="0" fontId="13" fillId="33" borderId="13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 horizontal="center"/>
      <protection locked="0"/>
    </xf>
    <xf numFmtId="173" fontId="7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165" fontId="9" fillId="0" borderId="14" xfId="0" applyNumberFormat="1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6"/>
          <c:w val="0.939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VIGAS!$B$18:$B$26</c:f>
              <c:strCache/>
            </c:strRef>
          </c:cat>
          <c:val>
            <c:numRef>
              <c:f>VIGAS!$C$18:$C$26</c:f>
              <c:numCache/>
            </c:numRef>
          </c:val>
        </c:ser>
        <c:axId val="11349928"/>
        <c:axId val="35040489"/>
      </c:barChart>
      <c:catAx>
        <c:axId val="11349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TIPOS DE VIGA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COSTO ESTIMADO POR ML.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99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142875</xdr:rowOff>
    </xdr:from>
    <xdr:to>
      <xdr:col>8</xdr:col>
      <xdr:colOff>561975</xdr:colOff>
      <xdr:row>39</xdr:row>
      <xdr:rowOff>76200</xdr:rowOff>
    </xdr:to>
    <xdr:graphicFrame>
      <xdr:nvGraphicFramePr>
        <xdr:cNvPr id="1" name="Chart 22"/>
        <xdr:cNvGraphicFramePr/>
      </xdr:nvGraphicFramePr>
      <xdr:xfrm>
        <a:off x="85725" y="4838700"/>
        <a:ext cx="58483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jurado@upm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</sheetPr>
  <dimension ref="A2:P32"/>
  <sheetViews>
    <sheetView tabSelected="1" zoomScale="115" zoomScaleNormal="115" zoomScalePageLayoutView="0" workbookViewId="0" topLeftCell="A1">
      <selection activeCell="C4" sqref="C4"/>
    </sheetView>
  </sheetViews>
  <sheetFormatPr defaultColWidth="11.421875" defaultRowHeight="12.75"/>
  <cols>
    <col min="2" max="2" width="12.140625" style="0" customWidth="1"/>
    <col min="5" max="5" width="9.00390625" style="0" customWidth="1"/>
    <col min="6" max="6" width="8.00390625" style="0" customWidth="1"/>
    <col min="7" max="7" width="9.140625" style="0" customWidth="1"/>
    <col min="8" max="8" width="8.00390625" style="0" customWidth="1"/>
    <col min="9" max="9" width="10.00390625" style="0" customWidth="1"/>
    <col min="10" max="10" width="7.8515625" style="0" customWidth="1"/>
    <col min="12" max="12" width="8.00390625" style="0" customWidth="1"/>
    <col min="13" max="13" width="3.57421875" style="0" customWidth="1"/>
    <col min="14" max="14" width="7.00390625" style="0" customWidth="1"/>
    <col min="15" max="15" width="5.8515625" style="0" customWidth="1"/>
  </cols>
  <sheetData>
    <row r="1" ht="5.25" customHeight="1"/>
    <row r="2" spans="2:12" ht="25.5">
      <c r="B2" s="29" t="s">
        <v>39</v>
      </c>
      <c r="K2" s="38" t="s">
        <v>52</v>
      </c>
      <c r="L2" s="48" t="s">
        <v>59</v>
      </c>
    </row>
    <row r="4" spans="1:10" ht="15.75">
      <c r="A4" s="62" t="s">
        <v>66</v>
      </c>
      <c r="B4" s="63"/>
      <c r="C4" s="1">
        <v>7</v>
      </c>
      <c r="D4" s="2" t="s">
        <v>0</v>
      </c>
      <c r="F4" s="22"/>
      <c r="G4" s="22"/>
      <c r="H4" s="23" t="s">
        <v>43</v>
      </c>
      <c r="I4" s="40">
        <f>26/1.4</f>
        <v>18.571428571428573</v>
      </c>
      <c r="J4" s="17" t="s">
        <v>5</v>
      </c>
    </row>
    <row r="5" spans="1:10" ht="15.75">
      <c r="A5" s="47"/>
      <c r="B5" s="57" t="s">
        <v>65</v>
      </c>
      <c r="C5" s="47"/>
      <c r="D5" s="47"/>
      <c r="F5" s="22"/>
      <c r="G5" s="22"/>
      <c r="H5" s="4" t="s">
        <v>42</v>
      </c>
      <c r="I5" s="5">
        <v>21000</v>
      </c>
      <c r="J5" s="17" t="s">
        <v>5</v>
      </c>
    </row>
    <row r="6" spans="1:7" ht="15.75">
      <c r="A6" s="63" t="s">
        <v>1</v>
      </c>
      <c r="B6" s="63"/>
      <c r="C6" s="1">
        <v>4</v>
      </c>
      <c r="D6" s="2" t="s">
        <v>2</v>
      </c>
      <c r="G6" s="2"/>
    </row>
    <row r="7" spans="1:10" ht="15.75">
      <c r="A7" s="63" t="s">
        <v>3</v>
      </c>
      <c r="B7" s="63"/>
      <c r="C7" s="1">
        <v>6</v>
      </c>
      <c r="D7" s="2" t="s">
        <v>2</v>
      </c>
      <c r="G7" s="2"/>
      <c r="H7" s="23" t="s">
        <v>40</v>
      </c>
      <c r="I7" s="40">
        <v>1</v>
      </c>
      <c r="J7" s="17" t="s">
        <v>5</v>
      </c>
    </row>
    <row r="8" spans="1:10" ht="15.75">
      <c r="A8" s="63" t="s">
        <v>4</v>
      </c>
      <c r="B8" s="63"/>
      <c r="C8" s="39">
        <v>300</v>
      </c>
      <c r="D8" s="3"/>
      <c r="H8" s="4" t="s">
        <v>41</v>
      </c>
      <c r="I8" s="5">
        <v>1000</v>
      </c>
      <c r="J8" s="17" t="s">
        <v>5</v>
      </c>
    </row>
    <row r="9" ht="8.25" customHeight="1"/>
    <row r="10" spans="1:9" ht="12.75">
      <c r="A10" s="10" t="s">
        <v>21</v>
      </c>
      <c r="B10" s="10" t="s">
        <v>6</v>
      </c>
      <c r="C10" s="10" t="s">
        <v>19</v>
      </c>
      <c r="D10" s="10" t="s">
        <v>20</v>
      </c>
      <c r="I10" s="7"/>
    </row>
    <row r="11" spans="1:15" ht="20.25">
      <c r="A11" s="58" t="s">
        <v>67</v>
      </c>
      <c r="B11" s="59" t="s">
        <v>6</v>
      </c>
      <c r="C11" s="60"/>
      <c r="D11" s="2"/>
      <c r="E11" s="12" t="s">
        <v>15</v>
      </c>
      <c r="F11" s="13">
        <f>10*INT(MAX(F14:F16))</f>
        <v>320</v>
      </c>
      <c r="G11" s="12" t="s">
        <v>16</v>
      </c>
      <c r="H11" s="13">
        <f>10*INT(MAX(H14:H16))</f>
        <v>230</v>
      </c>
      <c r="I11" s="12" t="s">
        <v>18</v>
      </c>
      <c r="J11" s="13">
        <f>10*INT(MAX(J14:J16))</f>
        <v>270</v>
      </c>
      <c r="K11" s="14" t="s">
        <v>23</v>
      </c>
      <c r="L11" s="15">
        <f>INT(10*MAX(L14:L16))</f>
        <v>638</v>
      </c>
      <c r="M11" s="15" t="s">
        <v>22</v>
      </c>
      <c r="N11" s="41">
        <v>10</v>
      </c>
      <c r="O11" s="7" t="s">
        <v>28</v>
      </c>
    </row>
    <row r="12" spans="3:12" ht="12.75">
      <c r="C12" s="9"/>
      <c r="D12" s="6"/>
      <c r="E12" s="8" t="s">
        <v>17</v>
      </c>
      <c r="F12" s="11">
        <f>0.785*0.26*(F11/10)^1.574</f>
        <v>47.74732774190608</v>
      </c>
      <c r="H12" s="11">
        <f>0.785*0.518*(H11/10)^1.67</f>
        <v>76.43370338495497</v>
      </c>
      <c r="J12" s="11">
        <f>2*0.785*0.819*(J11/10)^1.22</f>
        <v>71.6881456109863</v>
      </c>
      <c r="L12" s="11">
        <f>0.00785*$N$11*L11</f>
        <v>50.08299999999999</v>
      </c>
    </row>
    <row r="13" spans="1:12" ht="12.75">
      <c r="A13" s="4" t="s">
        <v>7</v>
      </c>
      <c r="B13" s="64">
        <f>100*q*s*Luz*Luz/(((IF(B11="INTERIOR",16,(IF(B11="EXTREMO",11.66,(IF(B11="VOLADIZO",2,8)))))))*f)</f>
        <v>678.4615384615385</v>
      </c>
      <c r="C13" s="65"/>
      <c r="D13" s="17" t="s">
        <v>8</v>
      </c>
      <c r="E13" s="61">
        <f>F12*precios!$D$4</f>
        <v>95.49465548381217</v>
      </c>
      <c r="F13" s="61"/>
      <c r="G13" s="61">
        <f>H12*precios!$D$4</f>
        <v>152.86740676990993</v>
      </c>
      <c r="H13" s="61"/>
      <c r="I13" s="61">
        <f>J12*precios!$D$4</f>
        <v>143.3762912219726</v>
      </c>
      <c r="J13" s="61"/>
      <c r="K13" s="61">
        <f>L12*precios!$D$4</f>
        <v>100.16599999999998</v>
      </c>
      <c r="L13" s="61"/>
    </row>
    <row r="14" spans="1:12" ht="12.75">
      <c r="A14" s="4" t="s">
        <v>9</v>
      </c>
      <c r="B14" s="64">
        <f>(IF(B11="EXTREMO",0.59,(IF(B11="VOLADIZO",1,0.5))))*q*s*Luz/(0.56*f)</f>
        <v>8.076923076923075</v>
      </c>
      <c r="C14" s="65"/>
      <c r="D14" s="17" t="s">
        <v>10</v>
      </c>
      <c r="E14" s="35" t="s">
        <v>12</v>
      </c>
      <c r="F14" s="36">
        <f>(B13/0.0884)^(1/2.574)</f>
        <v>32.31114567691437</v>
      </c>
      <c r="G14" s="37"/>
      <c r="H14" s="36">
        <f>(B13/0.194)^(1/2.67)</f>
        <v>21.244047656810178</v>
      </c>
      <c r="I14" s="37"/>
      <c r="J14" s="36">
        <f>(0.5*B13/0.246)^(1/2.22)</f>
        <v>25.9547156216174</v>
      </c>
      <c r="K14" s="37"/>
      <c r="L14" s="36">
        <f>(B13*60/$N$11)^0.5</f>
        <v>63.802580126270996</v>
      </c>
    </row>
    <row r="15" spans="1:12" ht="12.75" customHeight="1">
      <c r="A15" s="4" t="s">
        <v>11</v>
      </c>
      <c r="B15" s="64">
        <f>10000*avo*q*s*Luz^3/(((IF(B11="EXTREMO",185,(IF(B11="INTERIOR",384,(IF(B11="VOLADIZO",8,77)))))))*E)</f>
        <v>11220.77922077922</v>
      </c>
      <c r="C15" s="65"/>
      <c r="D15" s="17" t="s">
        <v>29</v>
      </c>
      <c r="E15" s="35" t="s">
        <v>13</v>
      </c>
      <c r="F15" s="36">
        <f>(B14/0.027)^0.5</f>
        <v>17.295817388759026</v>
      </c>
      <c r="G15" s="37"/>
      <c r="H15" s="36">
        <f>(B14/0.04)^0.5</f>
        <v>14.209964001470127</v>
      </c>
      <c r="I15" s="37"/>
      <c r="J15" s="36">
        <f>(0.5*B14/0.0357)^0.5</f>
        <v>10.635890745287925</v>
      </c>
      <c r="K15" s="37"/>
      <c r="L15" s="36">
        <f>B14/(0.066*$N$11)</f>
        <v>12.237762237762235</v>
      </c>
    </row>
    <row r="16" spans="5:12" ht="6.75" customHeight="1">
      <c r="E16" s="35" t="s">
        <v>14</v>
      </c>
      <c r="F16" s="36">
        <f>(B15/0.0442)^(1/3.574)</f>
        <v>32.52366101162998</v>
      </c>
      <c r="G16" s="37"/>
      <c r="H16" s="36">
        <f>(B15/0.0972)^(1/3.67)</f>
        <v>23.954591040849063</v>
      </c>
      <c r="I16" s="37"/>
      <c r="J16" s="36">
        <f>(0.5*B15/0.123)^(1/3.22)</f>
        <v>27.984768024751325</v>
      </c>
      <c r="K16" s="37"/>
      <c r="L16" s="36">
        <f>(120*B15/$N$11)^(1/3)</f>
        <v>51.25482493055026</v>
      </c>
    </row>
    <row r="18" spans="2:12" ht="20.25">
      <c r="B18" s="32" t="s">
        <v>15</v>
      </c>
      <c r="C18" s="33">
        <f>E13</f>
        <v>95.49465548381217</v>
      </c>
      <c r="E18" s="24"/>
      <c r="F18" s="25"/>
      <c r="G18" s="14" t="s">
        <v>49</v>
      </c>
      <c r="H18" s="16">
        <f>INT(100*Luz/(IF(B11="VOLADIZO",5,(IF(B11="INTERIOR",15,(IF(B11="EXTREMO",12,10)))))))</f>
        <v>60</v>
      </c>
      <c r="I18" s="7" t="s">
        <v>24</v>
      </c>
      <c r="J18" s="16">
        <f>INT(66.7*Luz/(IF(B11="VOLADIZO",5,(IF(B11="INTERIOR",15,(IF(B11="EXTREMO",12,10)))))))</f>
        <v>40</v>
      </c>
      <c r="K18" s="7" t="s">
        <v>24</v>
      </c>
      <c r="L18" s="30" t="s">
        <v>60</v>
      </c>
    </row>
    <row r="19" spans="2:16" ht="14.25">
      <c r="B19" s="32" t="s">
        <v>16</v>
      </c>
      <c r="C19" s="33">
        <f>G13</f>
        <v>152.86740676990993</v>
      </c>
      <c r="G19" s="8" t="s">
        <v>17</v>
      </c>
      <c r="H19" s="11">
        <f>0.00785*0.2*(H21^2+H22^2+2.4*H23^2)</f>
        <v>30.338051999999998</v>
      </c>
      <c r="I19" s="7"/>
      <c r="J19" s="11">
        <f>0.00785*0.2*(J21^2+J22^2+2.4*J23^2)</f>
        <v>39.252511999999996</v>
      </c>
      <c r="K19" s="7"/>
      <c r="L19" s="49" t="s">
        <v>61</v>
      </c>
      <c r="M19" s="50"/>
      <c r="N19" s="50"/>
      <c r="O19" s="50"/>
      <c r="P19" s="51"/>
    </row>
    <row r="20" spans="2:16" ht="14.25">
      <c r="B20" s="32" t="s">
        <v>18</v>
      </c>
      <c r="C20" s="33">
        <f>I13</f>
        <v>143.3762912219726</v>
      </c>
      <c r="G20" s="61">
        <f>H19*precios!$D$5</f>
        <v>91.01415599999999</v>
      </c>
      <c r="H20" s="61"/>
      <c r="I20" s="61">
        <f>J19*precios!$D$5</f>
        <v>117.75753599999999</v>
      </c>
      <c r="J20" s="61"/>
      <c r="L20" s="52" t="s">
        <v>62</v>
      </c>
      <c r="M20" s="7"/>
      <c r="N20" s="7"/>
      <c r="O20" s="7"/>
      <c r="P20" s="53"/>
    </row>
    <row r="21" spans="2:16" ht="14.25">
      <c r="B21" s="32" t="s">
        <v>23</v>
      </c>
      <c r="C21" s="33">
        <f>K13</f>
        <v>100.16599999999998</v>
      </c>
      <c r="F21" s="8"/>
      <c r="G21" s="20" t="s">
        <v>25</v>
      </c>
      <c r="H21" s="21">
        <f>INT(10*(B13/(0.2*H18))^0.5)</f>
        <v>75</v>
      </c>
      <c r="I21" s="8" t="s">
        <v>28</v>
      </c>
      <c r="J21" s="21">
        <f>INT(10*(B13/(0.2*J18))^0.5)</f>
        <v>92</v>
      </c>
      <c r="K21" s="8" t="s">
        <v>28</v>
      </c>
      <c r="L21" s="52" t="s">
        <v>63</v>
      </c>
      <c r="M21" s="7"/>
      <c r="N21" s="7"/>
      <c r="O21" s="7"/>
      <c r="P21" s="53"/>
    </row>
    <row r="22" spans="2:16" ht="14.25">
      <c r="B22" s="32" t="s">
        <v>50</v>
      </c>
      <c r="C22" s="33">
        <f>G20</f>
        <v>91.01415599999999</v>
      </c>
      <c r="F22" s="8"/>
      <c r="G22" s="20" t="s">
        <v>26</v>
      </c>
      <c r="H22" s="21">
        <f>INT(10*(((0.002*H21*H21+0.001*H18*H18/f)/0.2)^0.5))</f>
        <v>75</v>
      </c>
      <c r="I22" s="8" t="s">
        <v>28</v>
      </c>
      <c r="J22" s="21">
        <f>INT(10*(((0.002*J21*J21+0.001*J18*J18/f)/0.2)^0.5))</f>
        <v>92</v>
      </c>
      <c r="K22" s="8" t="s">
        <v>28</v>
      </c>
      <c r="L22" s="54" t="s">
        <v>64</v>
      </c>
      <c r="M22" s="55"/>
      <c r="N22" s="55"/>
      <c r="O22" s="55"/>
      <c r="P22" s="56"/>
    </row>
    <row r="23" spans="2:11" ht="12.75">
      <c r="B23" s="32" t="s">
        <v>51</v>
      </c>
      <c r="C23" s="33">
        <f>I20</f>
        <v>117.75753599999999</v>
      </c>
      <c r="F23" s="8"/>
      <c r="G23" s="20" t="s">
        <v>27</v>
      </c>
      <c r="H23" s="21">
        <f>INT(10*((1.5*B14*0.56/0.2)^0.5))</f>
        <v>58</v>
      </c>
      <c r="I23" s="8" t="s">
        <v>28</v>
      </c>
      <c r="J23" s="21">
        <f>H23</f>
        <v>58</v>
      </c>
      <c r="K23" s="8" t="s">
        <v>28</v>
      </c>
    </row>
    <row r="24" spans="2:3" ht="12.75">
      <c r="B24" s="32" t="s">
        <v>53</v>
      </c>
      <c r="C24" s="33">
        <f>0.3*G26</f>
        <v>75.39920000000002</v>
      </c>
    </row>
    <row r="25" spans="2:15" ht="20.25">
      <c r="B25" s="32" t="s">
        <v>45</v>
      </c>
      <c r="C25" s="34">
        <f>M26</f>
        <v>75.21384615384616</v>
      </c>
      <c r="D25" s="24"/>
      <c r="E25" s="31" t="s">
        <v>44</v>
      </c>
      <c r="F25" s="43">
        <v>3</v>
      </c>
      <c r="G25" s="27">
        <f>0.1*INT(10*MAX(F26:F28))</f>
        <v>61.400000000000006</v>
      </c>
      <c r="H25" s="13" t="str">
        <f>"x "&amp;TEXT(G25/prop,"0")</f>
        <v>x 20</v>
      </c>
      <c r="I25" s="7" t="s">
        <v>24</v>
      </c>
      <c r="J25" s="24"/>
      <c r="K25" s="28" t="s">
        <v>45</v>
      </c>
      <c r="L25" s="15">
        <f>5*INT(((B13*f/(0.2*N25*0.8))^0.5)/5)+5</f>
        <v>65</v>
      </c>
      <c r="M25" s="15" t="s">
        <v>22</v>
      </c>
      <c r="N25" s="42">
        <v>20</v>
      </c>
      <c r="O25" s="7" t="s">
        <v>24</v>
      </c>
    </row>
    <row r="26" spans="2:14" ht="12.75">
      <c r="B26" s="32" t="s">
        <v>46</v>
      </c>
      <c r="C26" s="33">
        <f>M30</f>
        <v>63.87857142857145</v>
      </c>
      <c r="E26" s="35" t="s">
        <v>12</v>
      </c>
      <c r="F26" s="36">
        <f>(6*prop*B13*f/I7)^(1/3)</f>
        <v>60.983781408891176</v>
      </c>
      <c r="G26" s="61">
        <f>0.0001*precios!D10*G25*G25/prop</f>
        <v>251.33066666666673</v>
      </c>
      <c r="H26" s="61"/>
      <c r="K26" s="45" t="s">
        <v>47</v>
      </c>
      <c r="L26" s="46">
        <f>precios!$D$6*0.785*1.6*1.5*B13*f/(0.8*L25*28)</f>
        <v>16.30384615384616</v>
      </c>
      <c r="M26" s="61">
        <f>precios!$D$7*0.0001*L25*N25+L26+L27+L28</f>
        <v>75.21384615384616</v>
      </c>
      <c r="N26" s="61"/>
    </row>
    <row r="27" spans="5:12" ht="12.75">
      <c r="E27" s="35" t="s">
        <v>13</v>
      </c>
      <c r="F27" s="36">
        <f>(1.5*prop*B14*0.56*f/(I7/10))^0.5</f>
        <v>61.48170459575759</v>
      </c>
      <c r="K27" s="45" t="s">
        <v>48</v>
      </c>
      <c r="L27" s="46">
        <f>precios!$D$6*0.39*0.01*2*(L25+N25)/0.3</f>
        <v>2.2100000000000004</v>
      </c>
    </row>
    <row r="28" spans="5:12" ht="12.75">
      <c r="E28" s="35" t="s">
        <v>14</v>
      </c>
      <c r="F28" s="36">
        <f>(12*prop*B15*E/I8)^(1/4)</f>
        <v>53.967985008162074</v>
      </c>
      <c r="K28" s="45" t="s">
        <v>36</v>
      </c>
      <c r="L28" s="46">
        <f>precios!$D$9*0.01*(2*L25+N25)</f>
        <v>45</v>
      </c>
    </row>
    <row r="29" spans="10:15" ht="20.25">
      <c r="J29" s="24"/>
      <c r="K29" s="28" t="s">
        <v>46</v>
      </c>
      <c r="L29" s="28">
        <f>INT(100*Luz/(IF(B11="VOLADIZO",8,(IF(B11="INTERIOR",30,(IF(B11="EXTREMO",25,20)))))))</f>
        <v>30</v>
      </c>
      <c r="M29" s="15" t="s">
        <v>22</v>
      </c>
      <c r="N29" s="26">
        <f>5*INT(B13*f/(0.35*L29*L29*0.8)/5)+5</f>
        <v>55</v>
      </c>
      <c r="O29" s="7" t="s">
        <v>24</v>
      </c>
    </row>
    <row r="30" spans="9:14" ht="12.75">
      <c r="I30" s="7"/>
      <c r="K30" s="45" t="s">
        <v>47</v>
      </c>
      <c r="L30" s="46">
        <f>precios!$D$6*0.785*1.6*1.5*B13*f/(0.7*L29*28)</f>
        <v>40.37142857142859</v>
      </c>
      <c r="M30" s="61">
        <f>precios!$D$7*0.0001*L29*N29+L30+L31+L32</f>
        <v>63.87857142857145</v>
      </c>
      <c r="N30" s="61"/>
    </row>
    <row r="31" spans="11:12" ht="12.75">
      <c r="K31" s="45" t="s">
        <v>48</v>
      </c>
      <c r="L31" s="46">
        <f>precios!$D$6*0.39*2*(L29+N29)/(0.7*L29)</f>
        <v>3.157142857142857</v>
      </c>
    </row>
    <row r="32" spans="9:12" ht="12.75">
      <c r="I32" s="7"/>
      <c r="K32" s="45" t="s">
        <v>36</v>
      </c>
      <c r="L32" s="46">
        <f>precios!$D$8*0.01*N29</f>
        <v>5.5</v>
      </c>
    </row>
  </sheetData>
  <sheetProtection password="E86C" sheet="1" selectLockedCells="1"/>
  <mergeCells count="17">
    <mergeCell ref="G26:H26"/>
    <mergeCell ref="M26:N26"/>
    <mergeCell ref="B14:C14"/>
    <mergeCell ref="B15:C15"/>
    <mergeCell ref="K13:L13"/>
    <mergeCell ref="M30:N30"/>
    <mergeCell ref="I20:J20"/>
    <mergeCell ref="G20:H20"/>
    <mergeCell ref="I13:J13"/>
    <mergeCell ref="B11:C11"/>
    <mergeCell ref="E13:F13"/>
    <mergeCell ref="G13:H13"/>
    <mergeCell ref="A4:B4"/>
    <mergeCell ref="A6:B6"/>
    <mergeCell ref="A7:B7"/>
    <mergeCell ref="A8:B8"/>
    <mergeCell ref="B13:C13"/>
  </mergeCells>
  <dataValidations count="1">
    <dataValidation type="list" allowBlank="1" showInputMessage="1" showErrorMessage="1" sqref="B11:C11">
      <formula1>$A$10:$D$10</formula1>
    </dataValidation>
  </dataValidations>
  <hyperlinks>
    <hyperlink ref="L2" r:id="rId1" display="francisco.jurado@upm.es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13"/>
  </sheetPr>
  <dimension ref="A3:E11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0.00390625" style="0" customWidth="1"/>
    <col min="3" max="3" width="14.28125" style="0" customWidth="1"/>
    <col min="4" max="4" width="8.28125" style="0" customWidth="1"/>
  </cols>
  <sheetData>
    <row r="3" spans="1:4" ht="12.75">
      <c r="A3" s="18" t="s">
        <v>30</v>
      </c>
      <c r="B3" s="18"/>
      <c r="D3" s="18" t="s">
        <v>31</v>
      </c>
    </row>
    <row r="4" spans="1:5" ht="12.75">
      <c r="A4">
        <v>18</v>
      </c>
      <c r="C4" s="19" t="s">
        <v>54</v>
      </c>
      <c r="D4" s="44">
        <v>2</v>
      </c>
      <c r="E4" t="s">
        <v>32</v>
      </c>
    </row>
    <row r="5" spans="1:5" ht="12.75">
      <c r="A5">
        <v>18</v>
      </c>
      <c r="C5" s="19" t="s">
        <v>55</v>
      </c>
      <c r="D5" s="44">
        <v>3</v>
      </c>
      <c r="E5" t="s">
        <v>32</v>
      </c>
    </row>
    <row r="6" spans="1:5" ht="12.75">
      <c r="A6">
        <v>28</v>
      </c>
      <c r="C6" s="19" t="s">
        <v>33</v>
      </c>
      <c r="D6" s="44">
        <v>1</v>
      </c>
      <c r="E6" t="s">
        <v>32</v>
      </c>
    </row>
    <row r="7" spans="1:5" ht="12.75">
      <c r="A7">
        <v>0.8</v>
      </c>
      <c r="C7" s="19" t="s">
        <v>34</v>
      </c>
      <c r="D7" s="44">
        <v>90</v>
      </c>
      <c r="E7" t="s">
        <v>35</v>
      </c>
    </row>
    <row r="8" spans="3:5" ht="12.75">
      <c r="C8" s="19" t="s">
        <v>57</v>
      </c>
      <c r="D8" s="44">
        <v>10</v>
      </c>
      <c r="E8" t="s">
        <v>37</v>
      </c>
    </row>
    <row r="9" spans="3:5" ht="12.75">
      <c r="C9" s="19" t="s">
        <v>58</v>
      </c>
      <c r="D9" s="44">
        <v>30</v>
      </c>
      <c r="E9" t="s">
        <v>37</v>
      </c>
    </row>
    <row r="10" spans="1:5" ht="12.75">
      <c r="A10">
        <v>1</v>
      </c>
      <c r="C10" s="19" t="s">
        <v>38</v>
      </c>
      <c r="D10" s="44">
        <v>2000</v>
      </c>
      <c r="E10" t="s">
        <v>35</v>
      </c>
    </row>
    <row r="11" spans="1:5" ht="12.75">
      <c r="A11">
        <v>0.1</v>
      </c>
      <c r="C11" s="19" t="s">
        <v>56</v>
      </c>
      <c r="D11" s="44">
        <v>250</v>
      </c>
      <c r="E11" t="s">
        <v>35</v>
      </c>
    </row>
  </sheetData>
  <sheetProtection select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arquitectura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Jurado</dc:creator>
  <cp:keywords/>
  <dc:description/>
  <cp:lastModifiedBy>n058321</cp:lastModifiedBy>
  <dcterms:created xsi:type="dcterms:W3CDTF">2004-10-01T10:52:31Z</dcterms:created>
  <dcterms:modified xsi:type="dcterms:W3CDTF">2014-03-21T10:10:37Z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